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gw-my.sharepoint.com/personal/m_biner_svgw_ch/Documents/Biner Markus/Kommissionen/AG_W4/Revision_W4/Druckprüfung/Druckprüfung_Protokolle_2024/Verfahren neu/"/>
    </mc:Choice>
  </mc:AlternateContent>
  <xr:revisionPtr revIDLastSave="0" documentId="8_{A13A913D-CCCB-4DD7-95FF-941EB2961B3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Normalverfahren" sheetId="4" r:id="rId1"/>
  </sheets>
  <definedNames>
    <definedName name="Diamètre_conduite_en_mètre">#REF!</definedName>
    <definedName name="_xlnm.Print_Area" localSheetId="0">Normalverfahren!$B$3:$AV$63</definedName>
    <definedName name="Longueur_conduite">#REF!</definedName>
    <definedName name="Rayon_conduite">#REF!</definedName>
    <definedName name="Volume_condui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I6" i="4" l="1"/>
  <c r="BJ32" i="4" s="1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26" i="4"/>
  <c r="CE39" i="4" l="1"/>
  <c r="CE38" i="4"/>
  <c r="CE37" i="4"/>
  <c r="CE36" i="4"/>
  <c r="CE35" i="4"/>
  <c r="CE34" i="4"/>
  <c r="CE33" i="4"/>
  <c r="CE32" i="4"/>
  <c r="CE31" i="4"/>
  <c r="CE30" i="4"/>
  <c r="CE29" i="4"/>
  <c r="CE28" i="4"/>
  <c r="CE27" i="4"/>
  <c r="CE26" i="4"/>
  <c r="CE25" i="4"/>
  <c r="CE24" i="4"/>
  <c r="CE23" i="4"/>
  <c r="CE22" i="4"/>
  <c r="CE21" i="4"/>
  <c r="CE20" i="4"/>
  <c r="CE19" i="4"/>
  <c r="CE18" i="4"/>
  <c r="CE17" i="4"/>
  <c r="CE16" i="4"/>
  <c r="CE15" i="4"/>
  <c r="CE14" i="4"/>
  <c r="CE13" i="4"/>
  <c r="M52" i="4" l="1"/>
  <c r="M46" i="4"/>
  <c r="AR45" i="4"/>
  <c r="T35" i="4"/>
  <c r="T38" i="4" s="1"/>
  <c r="CC29" i="4"/>
  <c r="CA29" i="4"/>
  <c r="CC28" i="4"/>
  <c r="CA28" i="4"/>
  <c r="CC27" i="4"/>
  <c r="CA27" i="4"/>
  <c r="CC26" i="4"/>
  <c r="CA26" i="4"/>
  <c r="CC25" i="4"/>
  <c r="CA25" i="4"/>
  <c r="CC24" i="4"/>
  <c r="CA24" i="4"/>
  <c r="AM24" i="4"/>
  <c r="CC23" i="4"/>
  <c r="CA23" i="4"/>
  <c r="CC22" i="4"/>
  <c r="CA22" i="4"/>
  <c r="CC21" i="4"/>
  <c r="CA21" i="4"/>
  <c r="CC20" i="4"/>
  <c r="CA20" i="4"/>
  <c r="CC19" i="4"/>
  <c r="CA19" i="4"/>
  <c r="CC18" i="4"/>
  <c r="CC17" i="4"/>
  <c r="CC16" i="4"/>
  <c r="CC15" i="4"/>
  <c r="CC14" i="4"/>
  <c r="CC13" i="4"/>
  <c r="BL10" i="4"/>
  <c r="BD9" i="4"/>
  <c r="AM23" i="4" l="1"/>
  <c r="AM20" i="4"/>
  <c r="BK32" i="4"/>
  <c r="BL32" i="4" s="1"/>
  <c r="BK30" i="4"/>
  <c r="BK29" i="4"/>
  <c r="BK27" i="4"/>
  <c r="BK39" i="4"/>
  <c r="BK26" i="4"/>
  <c r="BK36" i="4"/>
  <c r="BK33" i="4"/>
  <c r="BK41" i="4"/>
  <c r="BK38" i="4"/>
  <c r="BK35" i="4"/>
  <c r="BJ34" i="4"/>
  <c r="BJ33" i="4"/>
  <c r="BK34" i="4"/>
  <c r="BJ39" i="4"/>
  <c r="BJ41" i="4"/>
  <c r="BK19" i="4"/>
  <c r="BK11" i="4"/>
  <c r="BK15" i="4"/>
  <c r="BK17" i="4"/>
  <c r="BK20" i="4"/>
  <c r="BK31" i="4"/>
  <c r="BK24" i="4"/>
  <c r="BK40" i="4"/>
  <c r="BK16" i="4"/>
  <c r="BK12" i="4"/>
  <c r="BK25" i="4"/>
  <c r="T36" i="4"/>
  <c r="T37" i="4" s="1"/>
  <c r="N42" i="4" s="1"/>
  <c r="V39" i="4" s="1"/>
  <c r="BK13" i="4"/>
  <c r="BK22" i="4"/>
  <c r="BK37" i="4"/>
  <c r="BJ13" i="4"/>
  <c r="BJ17" i="4"/>
  <c r="BJ14" i="4"/>
  <c r="BJ12" i="4"/>
  <c r="BJ24" i="4"/>
  <c r="BJ18" i="4"/>
  <c r="BJ11" i="4"/>
  <c r="BJ20" i="4"/>
  <c r="BJ38" i="4"/>
  <c r="BJ16" i="4"/>
  <c r="BJ22" i="4"/>
  <c r="BJ25" i="4"/>
  <c r="BJ27" i="4"/>
  <c r="BJ29" i="4"/>
  <c r="BJ35" i="4"/>
  <c r="BJ36" i="4"/>
  <c r="BJ37" i="4"/>
  <c r="BK14" i="4"/>
  <c r="BJ15" i="4"/>
  <c r="BK18" i="4"/>
  <c r="BJ19" i="4"/>
  <c r="BK21" i="4"/>
  <c r="BK23" i="4"/>
  <c r="BK28" i="4"/>
  <c r="BJ31" i="4"/>
  <c r="BJ40" i="4"/>
  <c r="BJ21" i="4"/>
  <c r="BJ23" i="4"/>
  <c r="BJ26" i="4"/>
  <c r="BJ28" i="4"/>
  <c r="BJ30" i="4"/>
  <c r="BL41" i="4" l="1"/>
  <c r="BL17" i="4"/>
  <c r="BL31" i="4"/>
  <c r="BL33" i="4"/>
  <c r="BL34" i="4"/>
  <c r="BL39" i="4"/>
  <c r="BL20" i="4"/>
  <c r="BL37" i="4"/>
  <c r="BL35" i="4"/>
  <c r="BL28" i="4"/>
  <c r="BL40" i="4"/>
  <c r="BL27" i="4"/>
  <c r="BL29" i="4"/>
  <c r="BL16" i="4"/>
  <c r="BL19" i="4"/>
  <c r="BL12" i="4"/>
  <c r="BL13" i="4"/>
  <c r="BL26" i="4"/>
  <c r="BL15" i="4"/>
  <c r="BL36" i="4"/>
  <c r="BL25" i="4"/>
  <c r="BL38" i="4"/>
  <c r="BL24" i="4"/>
  <c r="BW11" i="4"/>
  <c r="BW12" i="4"/>
  <c r="BW23" i="4"/>
  <c r="BW25" i="4"/>
  <c r="BW16" i="4"/>
  <c r="BW14" i="4"/>
  <c r="BW24" i="4"/>
  <c r="BW15" i="4"/>
  <c r="BW13" i="4"/>
  <c r="AM43" i="4"/>
  <c r="BL22" i="4"/>
  <c r="BL18" i="4"/>
  <c r="BL30" i="4"/>
  <c r="BL21" i="4"/>
  <c r="BL23" i="4"/>
  <c r="BL11" i="4"/>
  <c r="BL14" i="4"/>
  <c r="P44" i="4" l="1"/>
  <c r="AH45" i="4" s="1"/>
  <c r="Q51" i="4"/>
  <c r="AM22" i="4"/>
  <c r="AM25" i="4"/>
  <c r="P48" i="4"/>
  <c r="Z42" i="4"/>
  <c r="H49" i="4"/>
  <c r="AM44" i="4" l="1"/>
  <c r="AM19" i="4" s="1"/>
  <c r="AM18" i="4" s="1"/>
  <c r="AD4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Hans_Brunner</author>
  </authors>
  <commentList>
    <comment ref="Z18" authorId="0" shapeId="0" xr:uid="{00000000-0006-0000-0000-000001000000}">
      <text>
        <r>
          <rPr>
            <sz val="9"/>
            <color indexed="81"/>
            <rFont val="Tahoma"/>
            <family val="2"/>
          </rPr>
          <t>Automatische Berechnung für GGG K9, PE 80 und PE 100. Für die anderen Materialien die gelben Zellen ausfüllen.</t>
        </r>
      </text>
    </comment>
  </commentList>
</comments>
</file>

<file path=xl/sharedStrings.xml><?xml version="1.0" encoding="utf-8"?>
<sst xmlns="http://schemas.openxmlformats.org/spreadsheetml/2006/main" count="255" uniqueCount="159">
  <si>
    <t>f</t>
  </si>
  <si>
    <t>PE 100</t>
  </si>
  <si>
    <t>SDR 17 (S8) PN10</t>
  </si>
  <si>
    <t>SDR 11 (S5) PN16</t>
  </si>
  <si>
    <t>SITUATION</t>
  </si>
  <si>
    <t>≤400</t>
  </si>
  <si>
    <t>DN</t>
  </si>
  <si>
    <t>e</t>
  </si>
  <si>
    <t>DI</t>
  </si>
  <si>
    <t>PUR</t>
  </si>
  <si>
    <t>&gt;700</t>
  </si>
  <si>
    <t>Adresse :</t>
  </si>
  <si>
    <t>° C</t>
  </si>
  <si>
    <t>ml</t>
  </si>
  <si>
    <t>*</t>
  </si>
  <si>
    <t>bar</t>
  </si>
  <si>
    <t>ID</t>
  </si>
  <si>
    <t>mm</t>
  </si>
  <si>
    <t>N/mm2</t>
  </si>
  <si>
    <t>PE</t>
  </si>
  <si>
    <t>L</t>
  </si>
  <si>
    <t>-</t>
  </si>
  <si>
    <t>&gt;400</t>
  </si>
  <si>
    <t>N</t>
  </si>
  <si>
    <t>h</t>
  </si>
  <si>
    <t>P1</t>
  </si>
  <si>
    <t>P2</t>
  </si>
  <si>
    <t>/</t>
  </si>
  <si>
    <t>x</t>
  </si>
  <si>
    <t>(P1 - P2)</t>
  </si>
  <si>
    <t>mano</t>
  </si>
  <si>
    <t>=</t>
  </si>
  <si>
    <t>Innenbeschichtung</t>
  </si>
  <si>
    <t>Aussenbeschichtung</t>
  </si>
  <si>
    <t>Material</t>
  </si>
  <si>
    <t>Guss duktil K9 ECOPUR</t>
  </si>
  <si>
    <t>Zementmörtel</t>
  </si>
  <si>
    <t>Keine</t>
  </si>
  <si>
    <t>PE + Zement</t>
  </si>
  <si>
    <t>Druckzone :</t>
  </si>
  <si>
    <t>Plan Nr. :</t>
  </si>
  <si>
    <t>Testabschnitt von :</t>
  </si>
  <si>
    <t>nach</t>
  </si>
  <si>
    <t>Wetter :</t>
  </si>
  <si>
    <t>Temperatur :</t>
  </si>
  <si>
    <t>ROHRLEITUNG UND ARMATUREN</t>
  </si>
  <si>
    <t>* : obligatorisch für Berechnung des max. Volumen</t>
  </si>
  <si>
    <t>Material :</t>
  </si>
  <si>
    <t>Rohrhersteller :</t>
  </si>
  <si>
    <t>Durchmesser (DN) :</t>
  </si>
  <si>
    <t>m</t>
  </si>
  <si>
    <r>
      <t>E</t>
    </r>
    <r>
      <rPr>
        <vertAlign val="subscript"/>
        <sz val="10"/>
        <rFont val="Arial"/>
        <family val="2"/>
      </rPr>
      <t>R</t>
    </r>
  </si>
  <si>
    <r>
      <t>K</t>
    </r>
    <r>
      <rPr>
        <vertAlign val="subscript"/>
        <sz val="10"/>
        <rFont val="Arial"/>
        <family val="2"/>
      </rPr>
      <t>w</t>
    </r>
  </si>
  <si>
    <t>Wanddicke</t>
  </si>
  <si>
    <t>s</t>
  </si>
  <si>
    <t>Elastizitätsmodul Rohrwerkstoff</t>
  </si>
  <si>
    <t>Kompressiosmodul von Wasser</t>
  </si>
  <si>
    <t>Rohrinnendurchm. ohne Auskleid.</t>
  </si>
  <si>
    <t>Bemerkungen :</t>
  </si>
  <si>
    <t>Sonnenschein</t>
  </si>
  <si>
    <t>Bewölkt</t>
  </si>
  <si>
    <t>Bedeckt</t>
  </si>
  <si>
    <t>Regen</t>
  </si>
  <si>
    <t>Schnee</t>
  </si>
  <si>
    <t>Luft komplett aus Testabschnitt entfernen</t>
  </si>
  <si>
    <t>Manometer wenn möglich am Tiefpunkt platzieren</t>
  </si>
  <si>
    <t>Anzahl geschlosse Ventile</t>
  </si>
  <si>
    <t>(Dyn. Druck des Netzes)</t>
  </si>
  <si>
    <r>
      <t xml:space="preserve">Höchster Systembetriebsdruck (MDP </t>
    </r>
    <r>
      <rPr>
        <vertAlign val="subscript"/>
        <sz val="10"/>
        <rFont val="Arial"/>
        <family val="2"/>
      </rPr>
      <t>a oder c</t>
    </r>
    <r>
      <rPr>
        <sz val="10"/>
        <rFont val="Arial"/>
        <family val="2"/>
      </rPr>
      <t>) :</t>
    </r>
  </si>
  <si>
    <t>Systemprüdruck (STP) :</t>
  </si>
  <si>
    <t>Druck am höchsten Punkt (1.1 * MDP) :</t>
  </si>
  <si>
    <t>Stahl, Beton innen + aussen</t>
  </si>
  <si>
    <t>Geschweisst</t>
  </si>
  <si>
    <t>Andere</t>
  </si>
  <si>
    <t>VORPRÜFUNG UND DRUCKABFALLPRÜFUNG</t>
  </si>
  <si>
    <t>HAUPTPRÜFUNG</t>
  </si>
  <si>
    <t>Druckabfallprüfung</t>
  </si>
  <si>
    <t>Druck</t>
  </si>
  <si>
    <t>Druckstoss  pauschal festgelegt</t>
  </si>
  <si>
    <t>Stumpfschweissung</t>
  </si>
  <si>
    <t>Schweissmuffe (elektr.)</t>
  </si>
  <si>
    <t>Durchmesser</t>
  </si>
  <si>
    <t>Druckprüfung gemäss SVGW Richtlinie W4, Druckverlustmethode</t>
  </si>
  <si>
    <t>Datum Druckprüfung :</t>
  </si>
  <si>
    <t>Verantwortlich  :</t>
  </si>
  <si>
    <r>
      <rPr>
        <sz val="10"/>
        <rFont val="Symbol"/>
        <family val="1"/>
        <charset val="2"/>
      </rPr>
      <t>D</t>
    </r>
    <r>
      <rPr>
        <sz val="10"/>
        <rFont val="Arial"/>
        <family val="2"/>
      </rPr>
      <t>Vzul</t>
    </r>
  </si>
  <si>
    <t>zul. nachzupump. Wasservol.</t>
  </si>
  <si>
    <t>Δpzul</t>
  </si>
  <si>
    <t>zul. Druckabsenkung</t>
  </si>
  <si>
    <t>Werte für Normalverfahren mit Wasserverlustmethode</t>
  </si>
  <si>
    <t>Länge Prüfabschnitt</t>
  </si>
  <si>
    <t>PRÜFUNGSVORBEREITUNGEN</t>
  </si>
  <si>
    <t>Drucktest gegen geschlossene Ventile vermeiden</t>
  </si>
  <si>
    <t>Sicherstellen, dass Prüfabschnitt gesichert ist (Schubsicherung, Widerlager etc.)</t>
  </si>
  <si>
    <t>(Tests gegen geschlossene Ventile vermeiden)</t>
  </si>
  <si>
    <t>Wenn Druckstoss berechnet wurde, Wert :</t>
  </si>
  <si>
    <t>Systembetriebsdruck (DP)</t>
  </si>
  <si>
    <t>STP begrenzt (bei geschloss. Ventilen, max 16 bar) :</t>
  </si>
  <si>
    <t>Kraft die auf einen Blindflansch ausgeübt wird :</t>
  </si>
  <si>
    <t xml:space="preserve">Druck ansteigen lassen auf STP = </t>
  </si>
  <si>
    <t>und halten während</t>
  </si>
  <si>
    <t>Zeit</t>
  </si>
  <si>
    <t>Manometer</t>
  </si>
  <si>
    <t>Stunden</t>
  </si>
  <si>
    <t>Druckabfallprüfung nach min. 1 Stunde durchführen</t>
  </si>
  <si>
    <t>Druck vor Wasserentnahme</t>
  </si>
  <si>
    <t>Druck nach Wasserentnahme</t>
  </si>
  <si>
    <r>
      <t>Druck absenken um Δp</t>
    </r>
    <r>
      <rPr>
        <vertAlign val="subscript"/>
        <sz val="10"/>
        <rFont val="Arial"/>
        <family val="2"/>
      </rPr>
      <t>g</t>
    </r>
    <r>
      <rPr>
        <sz val="10"/>
        <rFont val="Arial"/>
        <family val="2"/>
      </rPr>
      <t xml:space="preserve"> = </t>
    </r>
  </si>
  <si>
    <t>Verteiler</t>
  </si>
  <si>
    <t>Klassierung :</t>
  </si>
  <si>
    <t xml:space="preserve">Kopie : </t>
  </si>
  <si>
    <t>Freigabe</t>
  </si>
  <si>
    <t>Visum des Verantwortlichen:</t>
  </si>
  <si>
    <t>Datum :</t>
  </si>
  <si>
    <t>Druck bis STP erhöhen =</t>
  </si>
  <si>
    <t>Druck am Anfang der Prüfung :</t>
  </si>
  <si>
    <t>Druck am Ende der Prüfung :</t>
  </si>
  <si>
    <t>Der zulässiger Druckabfall ist</t>
  </si>
  <si>
    <t>Max. Volumen</t>
  </si>
  <si>
    <t>und warten</t>
  </si>
  <si>
    <t>zulässiges nachzupumpumpendes Wasservolumen</t>
  </si>
  <si>
    <t>Schubsicherung</t>
  </si>
  <si>
    <t>Mat ja</t>
  </si>
  <si>
    <t>Durchm ja</t>
  </si>
  <si>
    <t>Wahl</t>
  </si>
  <si>
    <t>Vorprüfung</t>
  </si>
  <si>
    <t>Hauptprüfung</t>
  </si>
  <si>
    <t>E-Modul</t>
  </si>
  <si>
    <t>GFK</t>
  </si>
  <si>
    <t>500 bis 700</t>
  </si>
  <si>
    <t>Druckabfallprüf.</t>
  </si>
  <si>
    <t>DRUCKPRÜFUNG FÜR ROHRLEITUNGEN MIT NORMALVERFAHREN</t>
  </si>
  <si>
    <t>Länge Prüfabschnitt (L) :</t>
  </si>
  <si>
    <t>Guss duktil Zementmörtelaukleid.</t>
  </si>
  <si>
    <t>Stahl mit Zementmörtelauskl.</t>
  </si>
  <si>
    <t>Stahl ohne Zementmörtelauskl.</t>
  </si>
  <si>
    <r>
      <t>Wasserentnahme messen ΔV</t>
    </r>
    <r>
      <rPr>
        <vertAlign val="subscript"/>
        <sz val="10"/>
        <rFont val="Arial"/>
        <family val="2"/>
      </rPr>
      <t>g</t>
    </r>
    <r>
      <rPr>
        <sz val="10"/>
        <rFont val="Arial"/>
        <family val="2"/>
      </rPr>
      <t xml:space="preserve"> =</t>
    </r>
  </si>
  <si>
    <t>Ausgl.Faktor f. Lufteinschlüsse</t>
  </si>
  <si>
    <t>Steckmuffe schubgesichert</t>
  </si>
  <si>
    <t>Steckmuffe Schubsicherung ausserhalb</t>
  </si>
  <si>
    <t>Steckmuffe nicht schubgesichert</t>
  </si>
  <si>
    <t>Prüfprotokoll</t>
  </si>
  <si>
    <t>April 2025</t>
  </si>
  <si>
    <t>SDR 7.4 (S3.2) PN16</t>
  </si>
  <si>
    <t>Normalverfahren Stand 10.04.2025</t>
  </si>
  <si>
    <t>DVGW W400-2 (2022)</t>
  </si>
  <si>
    <t>&lt;150</t>
  </si>
  <si>
    <r>
      <rPr>
        <sz val="10"/>
        <color rgb="FFFF0000"/>
        <rFont val="Arial"/>
        <family val="2"/>
      </rPr>
      <t>150</t>
    </r>
    <r>
      <rPr>
        <sz val="10"/>
        <rFont val="Arial"/>
        <family val="2"/>
      </rPr>
      <t xml:space="preserve"> bis 400</t>
    </r>
  </si>
  <si>
    <t>MOP</t>
  </si>
  <si>
    <t>alle</t>
  </si>
  <si>
    <t>Druck [bar]</t>
  </si>
  <si>
    <t>Zeit [h]</t>
  </si>
  <si>
    <r>
      <t>Zulässiger Druck</t>
    </r>
    <r>
      <rPr>
        <sz val="10"/>
        <color rgb="FFFF0000"/>
        <rFont val="Arial"/>
        <family val="2"/>
      </rPr>
      <t>verlust</t>
    </r>
  </si>
  <si>
    <t>PE 100 S5/ SDR11</t>
  </si>
  <si>
    <t>PE 100 S8/ SDR17</t>
  </si>
  <si>
    <t>PE 100 S3.2/ SDR7.4</t>
  </si>
  <si>
    <t>PE 80 S5/ SDR11</t>
  </si>
  <si>
    <t>PE 80 S8/ SDR17</t>
  </si>
  <si>
    <t>[bar]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</si>
</sst>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d/mm/yyyy;@"/>
    <numFmt numFmtId="166" formatCode="&quot;Version du &quot;dd\ mmmm\ yyyy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name val="Wingdings 2"/>
      <family val="1"/>
      <charset val="2"/>
    </font>
    <font>
      <sz val="10"/>
      <name val="Arial Black"/>
      <family val="2"/>
    </font>
    <font>
      <b/>
      <sz val="12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11"/>
      <name val="Times New Roman"/>
      <family val="1"/>
    </font>
    <font>
      <sz val="10"/>
      <color indexed="10"/>
      <name val="Arial"/>
      <family val="2"/>
    </font>
    <font>
      <vertAlign val="subscript"/>
      <sz val="10"/>
      <name val="Arial"/>
      <family val="2"/>
    </font>
    <font>
      <i/>
      <sz val="6"/>
      <color indexed="12"/>
      <name val="Arial"/>
      <family val="2"/>
    </font>
    <font>
      <i/>
      <sz val="8"/>
      <color indexed="12"/>
      <name val="Arial"/>
      <family val="2"/>
    </font>
    <font>
      <i/>
      <u/>
      <sz val="6"/>
      <color indexed="12"/>
      <name val="Arial Black"/>
      <family val="2"/>
    </font>
    <font>
      <i/>
      <sz val="8"/>
      <color indexed="12"/>
      <name val="Wingdings 2"/>
      <family val="1"/>
      <charset val="2"/>
    </font>
    <font>
      <sz val="8"/>
      <name val="Wingdings 2"/>
      <family val="1"/>
      <charset val="2"/>
    </font>
    <font>
      <sz val="10"/>
      <name val="Symbol"/>
      <family val="1"/>
      <charset val="2"/>
    </font>
    <font>
      <sz val="9"/>
      <color indexed="81"/>
      <name val="Tahoma"/>
      <family val="2"/>
    </font>
    <font>
      <sz val="10"/>
      <name val="Arial Narrow"/>
      <family val="2"/>
    </font>
    <font>
      <sz val="5"/>
      <name val="Arial"/>
      <family val="2"/>
    </font>
    <font>
      <sz val="10"/>
      <color rgb="FFD270CC"/>
      <name val="Arial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15">
    <xf numFmtId="0" fontId="0" fillId="0" borderId="0" xfId="0"/>
    <xf numFmtId="0" fontId="1" fillId="0" borderId="0" xfId="1"/>
    <xf numFmtId="0" fontId="3" fillId="0" borderId="0" xfId="1" applyFont="1"/>
    <xf numFmtId="0" fontId="1" fillId="0" borderId="1" xfId="1" applyBorder="1"/>
    <xf numFmtId="0" fontId="1" fillId="3" borderId="2" xfId="1" applyFill="1" applyBorder="1"/>
    <xf numFmtId="0" fontId="1" fillId="3" borderId="3" xfId="1" applyFill="1" applyBorder="1"/>
    <xf numFmtId="0" fontId="4" fillId="3" borderId="0" xfId="1" applyFont="1" applyFill="1" applyAlignment="1">
      <alignment horizontal="center"/>
    </xf>
    <xf numFmtId="0" fontId="1" fillId="3" borderId="6" xfId="1" applyFill="1" applyBorder="1"/>
    <xf numFmtId="0" fontId="1" fillId="3" borderId="7" xfId="1" applyFill="1" applyBorder="1"/>
    <xf numFmtId="0" fontId="1" fillId="3" borderId="0" xfId="1" applyFill="1"/>
    <xf numFmtId="0" fontId="1" fillId="3" borderId="9" xfId="1" applyFill="1" applyBorder="1"/>
    <xf numFmtId="0" fontId="8" fillId="0" borderId="0" xfId="1" applyFont="1" applyAlignment="1">
      <alignment horizontal="center"/>
    </xf>
    <xf numFmtId="0" fontId="1" fillId="0" borderId="2" xfId="1" applyBorder="1"/>
    <xf numFmtId="0" fontId="1" fillId="0" borderId="3" xfId="1" applyBorder="1"/>
    <xf numFmtId="0" fontId="1" fillId="0" borderId="8" xfId="1" applyBorder="1"/>
    <xf numFmtId="0" fontId="1" fillId="0" borderId="7" xfId="1" applyBorder="1"/>
    <xf numFmtId="0" fontId="1" fillId="0" borderId="9" xfId="1" applyBorder="1"/>
    <xf numFmtId="0" fontId="11" fillId="0" borderId="0" xfId="1" applyFont="1"/>
    <xf numFmtId="0" fontId="8" fillId="0" borderId="0" xfId="1" applyFont="1" applyAlignment="1" applyProtection="1">
      <alignment horizontal="center"/>
      <protection locked="0"/>
    </xf>
    <xf numFmtId="0" fontId="1" fillId="0" borderId="0" xfId="1" applyAlignment="1">
      <alignment horizontal="center"/>
    </xf>
    <xf numFmtId="0" fontId="1" fillId="4" borderId="2" xfId="1" applyFill="1" applyBorder="1" applyProtection="1">
      <protection locked="0"/>
    </xf>
    <xf numFmtId="0" fontId="1" fillId="4" borderId="8" xfId="1" applyFill="1" applyBorder="1"/>
    <xf numFmtId="0" fontId="1" fillId="0" borderId="6" xfId="1" applyBorder="1"/>
    <xf numFmtId="0" fontId="1" fillId="0" borderId="12" xfId="1" applyBorder="1"/>
    <xf numFmtId="0" fontId="1" fillId="0" borderId="12" xfId="1" applyBorder="1" applyAlignment="1">
      <alignment horizontal="center"/>
    </xf>
    <xf numFmtId="0" fontId="8" fillId="0" borderId="3" xfId="1" applyFont="1" applyBorder="1"/>
    <xf numFmtId="0" fontId="1" fillId="4" borderId="2" xfId="1" applyFill="1" applyBorder="1"/>
    <xf numFmtId="0" fontId="1" fillId="4" borderId="3" xfId="1" applyFill="1" applyBorder="1"/>
    <xf numFmtId="0" fontId="1" fillId="4" borderId="7" xfId="1" applyFill="1" applyBorder="1"/>
    <xf numFmtId="0" fontId="1" fillId="4" borderId="9" xfId="1" applyFill="1" applyBorder="1"/>
    <xf numFmtId="0" fontId="1" fillId="0" borderId="6" xfId="1" applyBorder="1" applyAlignment="1">
      <alignment horizontal="center"/>
    </xf>
    <xf numFmtId="1" fontId="1" fillId="0" borderId="12" xfId="1" applyNumberFormat="1" applyBorder="1" applyAlignment="1">
      <alignment horizontal="center"/>
    </xf>
    <xf numFmtId="1" fontId="1" fillId="0" borderId="12" xfId="1" applyNumberFormat="1" applyBorder="1"/>
    <xf numFmtId="164" fontId="1" fillId="0" borderId="0" xfId="1" applyNumberFormat="1" applyAlignment="1">
      <alignment horizontal="center"/>
    </xf>
    <xf numFmtId="0" fontId="1" fillId="4" borderId="7" xfId="1" applyFill="1" applyBorder="1" applyProtection="1">
      <protection locked="0"/>
    </xf>
    <xf numFmtId="0" fontId="1" fillId="4" borderId="0" xfId="1" applyFill="1"/>
    <xf numFmtId="0" fontId="1" fillId="4" borderId="0" xfId="1" applyFill="1" applyAlignment="1">
      <alignment horizontal="left"/>
    </xf>
    <xf numFmtId="0" fontId="1" fillId="0" borderId="10" xfId="1" applyBorder="1"/>
    <xf numFmtId="0" fontId="1" fillId="0" borderId="1" xfId="1" applyBorder="1" applyAlignment="1">
      <alignment horizontal="right"/>
    </xf>
    <xf numFmtId="0" fontId="1" fillId="0" borderId="11" xfId="1" applyBorder="1"/>
    <xf numFmtId="0" fontId="1" fillId="4" borderId="10" xfId="1" applyFill="1" applyBorder="1"/>
    <xf numFmtId="0" fontId="1" fillId="4" borderId="1" xfId="1" applyFill="1" applyBorder="1"/>
    <xf numFmtId="0" fontId="1" fillId="0" borderId="5" xfId="1" applyBorder="1"/>
    <xf numFmtId="0" fontId="8" fillId="0" borderId="0" xfId="1" applyFont="1"/>
    <xf numFmtId="2" fontId="12" fillId="0" borderId="0" xfId="1" applyNumberFormat="1" applyFont="1"/>
    <xf numFmtId="0" fontId="1" fillId="0" borderId="0" xfId="1" applyAlignment="1">
      <alignment horizontal="left"/>
    </xf>
    <xf numFmtId="0" fontId="8" fillId="0" borderId="0" xfId="1" applyFont="1" applyAlignment="1">
      <alignment horizontal="left"/>
    </xf>
    <xf numFmtId="0" fontId="12" fillId="0" borderId="0" xfId="1" applyFont="1"/>
    <xf numFmtId="0" fontId="1" fillId="0" borderId="0" xfId="1" applyProtection="1">
      <protection locked="0"/>
    </xf>
    <xf numFmtId="0" fontId="1" fillId="4" borderId="11" xfId="1" applyFill="1" applyBorder="1"/>
    <xf numFmtId="0" fontId="1" fillId="0" borderId="14" xfId="1" applyBorder="1" applyAlignment="1">
      <alignment horizontal="center"/>
    </xf>
    <xf numFmtId="1" fontId="1" fillId="0" borderId="14" xfId="1" applyNumberFormat="1" applyBorder="1" applyAlignment="1">
      <alignment horizontal="center"/>
    </xf>
    <xf numFmtId="0" fontId="1" fillId="4" borderId="0" xfId="1" applyFill="1" applyProtection="1">
      <protection locked="0"/>
    </xf>
    <xf numFmtId="0" fontId="1" fillId="0" borderId="15" xfId="1" applyBorder="1" applyAlignment="1">
      <alignment horizontal="center"/>
    </xf>
    <xf numFmtId="1" fontId="1" fillId="0" borderId="15" xfId="1" applyNumberFormat="1" applyBorder="1" applyAlignment="1">
      <alignment horizontal="center"/>
    </xf>
    <xf numFmtId="49" fontId="1" fillId="0" borderId="2" xfId="1" applyNumberFormat="1" applyBorder="1"/>
    <xf numFmtId="49" fontId="1" fillId="0" borderId="7" xfId="1" applyNumberFormat="1" applyBorder="1"/>
    <xf numFmtId="0" fontId="10" fillId="0" borderId="0" xfId="1" applyFont="1"/>
    <xf numFmtId="49" fontId="10" fillId="0" borderId="0" xfId="1" applyNumberFormat="1" applyFont="1" applyAlignment="1">
      <alignment horizontal="left"/>
    </xf>
    <xf numFmtId="164" fontId="1" fillId="0" borderId="0" xfId="1" applyNumberFormat="1"/>
    <xf numFmtId="49" fontId="1" fillId="0" borderId="10" xfId="1" applyNumberFormat="1" applyBorder="1"/>
    <xf numFmtId="164" fontId="1" fillId="0" borderId="1" xfId="1" applyNumberFormat="1" applyBorder="1" applyAlignment="1">
      <alignment horizontal="center"/>
    </xf>
    <xf numFmtId="2" fontId="1" fillId="2" borderId="12" xfId="1" applyNumberFormat="1" applyFill="1" applyBorder="1" applyAlignment="1" applyProtection="1">
      <alignment horizontal="center"/>
      <protection locked="0"/>
    </xf>
    <xf numFmtId="164" fontId="8" fillId="0" borderId="0" xfId="1" applyNumberFormat="1" applyFont="1" applyAlignment="1">
      <alignment horizontal="center"/>
    </xf>
    <xf numFmtId="0" fontId="1" fillId="0" borderId="0" xfId="1" quotePrefix="1" applyAlignment="1">
      <alignment horizontal="center"/>
    </xf>
    <xf numFmtId="0" fontId="8" fillId="0" borderId="1" xfId="1" applyFont="1" applyBorder="1"/>
    <xf numFmtId="2" fontId="1" fillId="0" borderId="5" xfId="1" applyNumberFormat="1" applyBorder="1"/>
    <xf numFmtId="49" fontId="1" fillId="0" borderId="7" xfId="1" applyNumberFormat="1" applyBorder="1" applyAlignment="1">
      <alignment horizontal="left"/>
    </xf>
    <xf numFmtId="2" fontId="1" fillId="0" borderId="0" xfId="1" applyNumberFormat="1" applyAlignment="1">
      <alignment horizontal="left"/>
    </xf>
    <xf numFmtId="2" fontId="1" fillId="0" borderId="0" xfId="1" applyNumberFormat="1" applyAlignment="1">
      <alignment horizontal="center"/>
    </xf>
    <xf numFmtId="0" fontId="10" fillId="0" borderId="0" xfId="1" applyFont="1" applyAlignment="1">
      <alignment vertical="center"/>
    </xf>
    <xf numFmtId="0" fontId="1" fillId="0" borderId="1" xfId="1" applyBorder="1" applyAlignment="1">
      <alignment horizontal="center"/>
    </xf>
    <xf numFmtId="49" fontId="1" fillId="0" borderId="0" xfId="1" applyNumberFormat="1"/>
    <xf numFmtId="0" fontId="8" fillId="0" borderId="3" xfId="1" applyFont="1" applyBorder="1" applyAlignment="1">
      <alignment horizontal="left"/>
    </xf>
    <xf numFmtId="14" fontId="1" fillId="2" borderId="13" xfId="1" applyNumberFormat="1" applyFill="1" applyBorder="1" applyAlignment="1" applyProtection="1">
      <alignment horizontal="center" vertical="center"/>
      <protection locked="0"/>
    </xf>
    <xf numFmtId="0" fontId="1" fillId="0" borderId="0" xfId="1" applyAlignment="1">
      <alignment vertical="center"/>
    </xf>
    <xf numFmtId="0" fontId="3" fillId="0" borderId="10" xfId="1" applyFont="1" applyBorder="1"/>
    <xf numFmtId="0" fontId="3" fillId="0" borderId="1" xfId="1" applyFont="1" applyBorder="1"/>
    <xf numFmtId="0" fontId="14" fillId="0" borderId="5" xfId="1" applyFont="1" applyBorder="1" applyAlignment="1">
      <alignment horizontal="left"/>
    </xf>
    <xf numFmtId="14" fontId="15" fillId="0" borderId="5" xfId="1" applyNumberFormat="1" applyFont="1" applyBorder="1" applyAlignment="1">
      <alignment horizontal="left"/>
    </xf>
    <xf numFmtId="0" fontId="7" fillId="0" borderId="5" xfId="1" applyFont="1" applyBorder="1"/>
    <xf numFmtId="0" fontId="7" fillId="0" borderId="1" xfId="1" applyFont="1" applyBorder="1"/>
    <xf numFmtId="0" fontId="16" fillId="0" borderId="1" xfId="1" applyFont="1" applyBorder="1" applyAlignment="1">
      <alignment horizontal="center"/>
    </xf>
    <xf numFmtId="0" fontId="16" fillId="0" borderId="5" xfId="1" applyFont="1" applyBorder="1" applyAlignment="1">
      <alignment horizontal="center"/>
    </xf>
    <xf numFmtId="0" fontId="17" fillId="0" borderId="1" xfId="1" applyFont="1" applyBorder="1" applyAlignment="1">
      <alignment horizontal="right"/>
    </xf>
    <xf numFmtId="0" fontId="7" fillId="0" borderId="0" xfId="1" applyFont="1"/>
    <xf numFmtId="14" fontId="15" fillId="0" borderId="0" xfId="1" applyNumberFormat="1" applyFont="1" applyAlignment="1">
      <alignment horizontal="left"/>
    </xf>
    <xf numFmtId="1" fontId="8" fillId="0" borderId="0" xfId="1" applyNumberFormat="1" applyFont="1"/>
    <xf numFmtId="0" fontId="18" fillId="0" borderId="0" xfId="1" applyFont="1"/>
    <xf numFmtId="0" fontId="1" fillId="0" borderId="12" xfId="1" applyBorder="1" applyAlignment="1">
      <alignment horizontal="left"/>
    </xf>
    <xf numFmtId="0" fontId="1" fillId="6" borderId="7" xfId="1" applyFill="1" applyBorder="1"/>
    <xf numFmtId="0" fontId="1" fillId="6" borderId="9" xfId="1" applyFill="1" applyBorder="1"/>
    <xf numFmtId="0" fontId="1" fillId="6" borderId="10" xfId="1" applyFill="1" applyBorder="1"/>
    <xf numFmtId="0" fontId="1" fillId="6" borderId="11" xfId="1" applyFill="1" applyBorder="1"/>
    <xf numFmtId="0" fontId="1" fillId="3" borderId="8" xfId="1" applyFill="1" applyBorder="1"/>
    <xf numFmtId="0" fontId="4" fillId="3" borderId="3" xfId="1" applyFont="1" applyFill="1" applyBorder="1" applyAlignment="1">
      <alignment horizontal="center"/>
    </xf>
    <xf numFmtId="0" fontId="4" fillId="3" borderId="3" xfId="1" applyFont="1" applyFill="1" applyBorder="1" applyAlignment="1">
      <alignment horizontal="right"/>
    </xf>
    <xf numFmtId="0" fontId="4" fillId="3" borderId="3" xfId="1" applyFont="1" applyFill="1" applyBorder="1" applyAlignment="1">
      <alignment horizontal="left"/>
    </xf>
    <xf numFmtId="0" fontId="1" fillId="3" borderId="10" xfId="1" applyFill="1" applyBorder="1"/>
    <xf numFmtId="0" fontId="1" fillId="3" borderId="1" xfId="1" applyFill="1" applyBorder="1"/>
    <xf numFmtId="0" fontId="1" fillId="3" borderId="11" xfId="1" applyFill="1" applyBorder="1"/>
    <xf numFmtId="0" fontId="9" fillId="7" borderId="10" xfId="1" applyFont="1" applyFill="1" applyBorder="1" applyAlignment="1">
      <alignment horizontal="center" vertical="top"/>
    </xf>
    <xf numFmtId="0" fontId="9" fillId="7" borderId="1" xfId="1" applyFont="1" applyFill="1" applyBorder="1" applyAlignment="1">
      <alignment horizontal="center" vertical="top"/>
    </xf>
    <xf numFmtId="0" fontId="9" fillId="7" borderId="11" xfId="1" applyFont="1" applyFill="1" applyBorder="1" applyAlignment="1">
      <alignment horizontal="center" vertical="top"/>
    </xf>
    <xf numFmtId="0" fontId="2" fillId="5" borderId="0" xfId="1" applyFont="1" applyFill="1"/>
    <xf numFmtId="0" fontId="1" fillId="5" borderId="0" xfId="1" applyFill="1"/>
    <xf numFmtId="0" fontId="12" fillId="0" borderId="0" xfId="1" applyFont="1" applyAlignment="1">
      <alignment horizontal="right"/>
    </xf>
    <xf numFmtId="0" fontId="22" fillId="0" borderId="5" xfId="1" applyFont="1" applyBorder="1"/>
    <xf numFmtId="0" fontId="23" fillId="0" borderId="12" xfId="1" applyFont="1" applyBorder="1" applyAlignment="1">
      <alignment horizontal="center"/>
    </xf>
    <xf numFmtId="0" fontId="1" fillId="0" borderId="12" xfId="0" applyFont="1" applyBorder="1"/>
    <xf numFmtId="0" fontId="1" fillId="8" borderId="12" xfId="1" applyFill="1" applyBorder="1"/>
    <xf numFmtId="0" fontId="1" fillId="8" borderId="15" xfId="1" applyFill="1" applyBorder="1"/>
    <xf numFmtId="1" fontId="24" fillId="0" borderId="12" xfId="1" applyNumberFormat="1" applyFont="1" applyBorder="1" applyAlignment="1">
      <alignment horizontal="center"/>
    </xf>
    <xf numFmtId="0" fontId="12" fillId="0" borderId="12" xfId="1" applyFont="1" applyBorder="1" applyAlignment="1">
      <alignment horizontal="center"/>
    </xf>
    <xf numFmtId="0" fontId="24" fillId="0" borderId="15" xfId="1" applyFont="1" applyBorder="1" applyAlignment="1">
      <alignment horizontal="center"/>
    </xf>
    <xf numFmtId="0" fontId="1" fillId="4" borderId="12" xfId="1" applyFill="1" applyBorder="1"/>
    <xf numFmtId="0" fontId="1" fillId="4" borderId="12" xfId="1" applyFill="1" applyBorder="1" applyAlignment="1">
      <alignment horizontal="center"/>
    </xf>
    <xf numFmtId="0" fontId="1" fillId="5" borderId="12" xfId="1" applyFill="1" applyBorder="1"/>
    <xf numFmtId="0" fontId="1" fillId="5" borderId="12" xfId="1" applyFill="1" applyBorder="1" applyAlignment="1">
      <alignment horizontal="center"/>
    </xf>
    <xf numFmtId="0" fontId="24" fillId="0" borderId="12" xfId="1" applyFont="1" applyBorder="1"/>
    <xf numFmtId="0" fontId="24" fillId="0" borderId="12" xfId="1" applyFont="1" applyBorder="1" applyAlignment="1">
      <alignment horizontal="center"/>
    </xf>
    <xf numFmtId="0" fontId="24" fillId="8" borderId="12" xfId="1" applyFont="1" applyFill="1" applyBorder="1"/>
    <xf numFmtId="0" fontId="24" fillId="8" borderId="15" xfId="1" applyFont="1" applyFill="1" applyBorder="1" applyAlignment="1">
      <alignment horizontal="center"/>
    </xf>
    <xf numFmtId="0" fontId="24" fillId="8" borderId="12" xfId="1" applyFont="1" applyFill="1" applyBorder="1" applyAlignment="1">
      <alignment horizontal="center"/>
    </xf>
    <xf numFmtId="164" fontId="24" fillId="0" borderId="15" xfId="1" applyNumberFormat="1" applyFont="1" applyBorder="1" applyAlignment="1">
      <alignment horizontal="center"/>
    </xf>
    <xf numFmtId="1" fontId="24" fillId="0" borderId="15" xfId="1" applyNumberFormat="1" applyFont="1" applyBorder="1" applyAlignment="1">
      <alignment horizontal="center"/>
    </xf>
    <xf numFmtId="164" fontId="8" fillId="0" borderId="0" xfId="1" applyNumberFormat="1" applyFont="1" applyAlignment="1">
      <alignment horizontal="center"/>
    </xf>
    <xf numFmtId="0" fontId="8" fillId="0" borderId="1" xfId="1" applyFont="1" applyBorder="1" applyAlignment="1">
      <alignment horizontal="center"/>
    </xf>
    <xf numFmtId="0" fontId="1" fillId="0" borderId="2" xfId="1" applyBorder="1" applyAlignment="1" applyProtection="1">
      <alignment horizontal="left" vertical="top" wrapText="1"/>
      <protection locked="0"/>
    </xf>
    <xf numFmtId="0" fontId="1" fillId="0" borderId="3" xfId="1" applyBorder="1" applyAlignment="1" applyProtection="1">
      <alignment horizontal="left" vertical="top" wrapText="1"/>
      <protection locked="0"/>
    </xf>
    <xf numFmtId="0" fontId="1" fillId="0" borderId="8" xfId="1" applyBorder="1" applyAlignment="1" applyProtection="1">
      <alignment horizontal="left" vertical="top" wrapText="1"/>
      <protection locked="0"/>
    </xf>
    <xf numFmtId="0" fontId="1" fillId="0" borderId="7" xfId="1" applyBorder="1" applyAlignment="1" applyProtection="1">
      <alignment horizontal="left" vertical="top" wrapText="1"/>
      <protection locked="0"/>
    </xf>
    <xf numFmtId="0" fontId="1" fillId="0" borderId="0" xfId="1" applyAlignment="1" applyProtection="1">
      <alignment horizontal="left" vertical="top" wrapText="1"/>
      <protection locked="0"/>
    </xf>
    <xf numFmtId="0" fontId="1" fillId="0" borderId="9" xfId="1" applyBorder="1" applyAlignment="1" applyProtection="1">
      <alignment horizontal="left" vertical="top" wrapText="1"/>
      <protection locked="0"/>
    </xf>
    <xf numFmtId="0" fontId="1" fillId="0" borderId="10" xfId="1" applyBorder="1" applyAlignment="1" applyProtection="1">
      <alignment horizontal="left" vertical="top" wrapText="1"/>
      <protection locked="0"/>
    </xf>
    <xf numFmtId="0" fontId="1" fillId="0" borderId="1" xfId="1" applyBorder="1" applyAlignment="1" applyProtection="1">
      <alignment horizontal="left" vertical="top" wrapText="1"/>
      <protection locked="0"/>
    </xf>
    <xf numFmtId="0" fontId="1" fillId="0" borderId="11" xfId="1" applyBorder="1" applyAlignment="1" applyProtection="1">
      <alignment horizontal="left" vertical="top" wrapText="1"/>
      <protection locked="0"/>
    </xf>
    <xf numFmtId="14" fontId="1" fillId="2" borderId="13" xfId="1" applyNumberFormat="1" applyFill="1" applyBorder="1" applyAlignment="1" applyProtection="1">
      <alignment horizontal="center" vertical="center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0" fontId="1" fillId="0" borderId="0" xfId="1" applyAlignment="1" applyProtection="1">
      <alignment horizontal="center" vertical="center"/>
      <protection locked="0"/>
    </xf>
    <xf numFmtId="14" fontId="14" fillId="0" borderId="1" xfId="1" applyNumberFormat="1" applyFont="1" applyBorder="1" applyAlignment="1">
      <alignment horizontal="right"/>
    </xf>
    <xf numFmtId="1" fontId="8" fillId="0" borderId="0" xfId="1" applyNumberFormat="1" applyFont="1" applyAlignment="1">
      <alignment horizontal="center"/>
    </xf>
    <xf numFmtId="0" fontId="8" fillId="0" borderId="13" xfId="1" applyFont="1" applyBorder="1" applyAlignment="1">
      <alignment horizontal="left"/>
    </xf>
    <xf numFmtId="164" fontId="1" fillId="2" borderId="12" xfId="1" applyNumberFormat="1" applyFill="1" applyBorder="1" applyAlignment="1" applyProtection="1">
      <alignment horizontal="center"/>
      <protection locked="0"/>
    </xf>
    <xf numFmtId="2" fontId="1" fillId="2" borderId="4" xfId="1" applyNumberFormat="1" applyFill="1" applyBorder="1" applyAlignment="1" applyProtection="1">
      <alignment horizontal="center"/>
      <protection locked="0"/>
    </xf>
    <xf numFmtId="2" fontId="1" fillId="2" borderId="5" xfId="1" applyNumberFormat="1" applyFill="1" applyBorder="1" applyAlignment="1" applyProtection="1">
      <alignment horizontal="center"/>
      <protection locked="0"/>
    </xf>
    <xf numFmtId="2" fontId="1" fillId="2" borderId="6" xfId="1" applyNumberFormat="1" applyFill="1" applyBorder="1" applyAlignment="1" applyProtection="1">
      <alignment horizontal="center"/>
      <protection locked="0"/>
    </xf>
    <xf numFmtId="0" fontId="1" fillId="2" borderId="12" xfId="1" applyFill="1" applyBorder="1" applyAlignment="1" applyProtection="1">
      <alignment horizontal="center"/>
      <protection locked="0"/>
    </xf>
    <xf numFmtId="2" fontId="8" fillId="0" borderId="13" xfId="1" applyNumberFormat="1" applyFont="1" applyBorder="1" applyAlignment="1">
      <alignment horizontal="center"/>
    </xf>
    <xf numFmtId="0" fontId="1" fillId="2" borderId="13" xfId="1" applyFill="1" applyBorder="1" applyAlignment="1" applyProtection="1">
      <alignment horizontal="center"/>
      <protection locked="0"/>
    </xf>
    <xf numFmtId="0" fontId="8" fillId="0" borderId="0" xfId="1" applyFont="1" applyAlignment="1">
      <alignment horizontal="center"/>
    </xf>
    <xf numFmtId="1" fontId="1" fillId="2" borderId="17" xfId="1" applyNumberFormat="1" applyFill="1" applyBorder="1" applyAlignment="1">
      <alignment horizontal="center"/>
    </xf>
    <xf numFmtId="1" fontId="1" fillId="2" borderId="18" xfId="1" applyNumberFormat="1" applyFill="1" applyBorder="1" applyAlignment="1">
      <alignment horizontal="center"/>
    </xf>
    <xf numFmtId="1" fontId="1" fillId="2" borderId="19" xfId="1" applyNumberFormat="1" applyFill="1" applyBorder="1" applyAlignment="1">
      <alignment horizontal="center"/>
    </xf>
    <xf numFmtId="164" fontId="8" fillId="0" borderId="13" xfId="1" applyNumberFormat="1" applyFont="1" applyBorder="1" applyAlignment="1">
      <alignment horizontal="center"/>
    </xf>
    <xf numFmtId="0" fontId="21" fillId="0" borderId="12" xfId="1" applyFont="1" applyBorder="1" applyAlignment="1">
      <alignment horizontal="center"/>
    </xf>
    <xf numFmtId="2" fontId="1" fillId="0" borderId="4" xfId="1" applyNumberFormat="1" applyBorder="1" applyAlignment="1">
      <alignment horizontal="center"/>
    </xf>
    <xf numFmtId="2" fontId="1" fillId="0" borderId="5" xfId="1" applyNumberFormat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2" borderId="12" xfId="1" applyNumberFormat="1" applyFill="1" applyBorder="1" applyAlignment="1" applyProtection="1">
      <alignment horizontal="center"/>
      <protection locked="0"/>
    </xf>
    <xf numFmtId="2" fontId="1" fillId="2" borderId="14" xfId="1" applyNumberFormat="1" applyFill="1" applyBorder="1" applyAlignment="1" applyProtection="1">
      <alignment horizontal="center"/>
      <protection locked="0"/>
    </xf>
    <xf numFmtId="0" fontId="21" fillId="0" borderId="4" xfId="1" applyFont="1" applyBorder="1" applyAlignment="1">
      <alignment horizontal="center"/>
    </xf>
    <xf numFmtId="0" fontId="21" fillId="0" borderId="5" xfId="1" applyFont="1" applyBorder="1" applyAlignment="1">
      <alignment horizontal="center"/>
    </xf>
    <xf numFmtId="0" fontId="21" fillId="0" borderId="6" xfId="1" applyFont="1" applyBorder="1" applyAlignment="1">
      <alignment horizontal="center"/>
    </xf>
    <xf numFmtId="164" fontId="1" fillId="0" borderId="16" xfId="1" applyNumberFormat="1" applyBorder="1" applyAlignment="1">
      <alignment horizontal="center"/>
    </xf>
    <xf numFmtId="3" fontId="12" fillId="0" borderId="0" xfId="1" applyNumberFormat="1" applyFont="1" applyAlignment="1">
      <alignment horizontal="center"/>
    </xf>
    <xf numFmtId="0" fontId="1" fillId="0" borderId="0" xfId="1" applyAlignment="1">
      <alignment horizontal="center"/>
    </xf>
    <xf numFmtId="2" fontId="1" fillId="0" borderId="12" xfId="1" applyNumberFormat="1" applyBorder="1" applyAlignment="1">
      <alignment horizontal="left"/>
    </xf>
    <xf numFmtId="0" fontId="1" fillId="0" borderId="2" xfId="1" applyBorder="1" applyAlignment="1" applyProtection="1">
      <alignment vertical="top"/>
      <protection locked="0"/>
    </xf>
    <xf numFmtId="0" fontId="1" fillId="0" borderId="3" xfId="1" applyBorder="1" applyAlignment="1" applyProtection="1">
      <alignment vertical="top"/>
      <protection locked="0"/>
    </xf>
    <xf numFmtId="0" fontId="1" fillId="0" borderId="8" xfId="1" applyBorder="1" applyAlignment="1" applyProtection="1">
      <alignment vertical="top"/>
      <protection locked="0"/>
    </xf>
    <xf numFmtId="0" fontId="1" fillId="0" borderId="7" xfId="1" applyBorder="1" applyAlignment="1" applyProtection="1">
      <alignment vertical="top"/>
      <protection locked="0"/>
    </xf>
    <xf numFmtId="0" fontId="1" fillId="0" borderId="0" xfId="1" applyAlignment="1" applyProtection="1">
      <alignment vertical="top"/>
      <protection locked="0"/>
    </xf>
    <xf numFmtId="0" fontId="1" fillId="0" borderId="9" xfId="1" applyBorder="1" applyAlignment="1" applyProtection="1">
      <alignment vertical="top"/>
      <protection locked="0"/>
    </xf>
    <xf numFmtId="0" fontId="1" fillId="0" borderId="10" xfId="1" applyBorder="1" applyAlignment="1" applyProtection="1">
      <alignment vertical="top"/>
      <protection locked="0"/>
    </xf>
    <xf numFmtId="0" fontId="1" fillId="0" borderId="1" xfId="1" applyBorder="1" applyAlignment="1" applyProtection="1">
      <alignment vertical="top"/>
      <protection locked="0"/>
    </xf>
    <xf numFmtId="0" fontId="1" fillId="0" borderId="11" xfId="1" applyBorder="1" applyAlignment="1" applyProtection="1">
      <alignment vertical="top"/>
      <protection locked="0"/>
    </xf>
    <xf numFmtId="0" fontId="1" fillId="0" borderId="12" xfId="1" applyBorder="1" applyAlignment="1">
      <alignment horizontal="left"/>
    </xf>
    <xf numFmtId="0" fontId="1" fillId="0" borderId="0" xfId="1" applyAlignment="1">
      <alignment horizontal="left"/>
    </xf>
    <xf numFmtId="0" fontId="1" fillId="2" borderId="16" xfId="1" applyFill="1" applyBorder="1" applyAlignment="1" applyProtection="1">
      <alignment horizontal="center"/>
      <protection locked="0"/>
    </xf>
    <xf numFmtId="0" fontId="1" fillId="2" borderId="4" xfId="1" applyFill="1" applyBorder="1" applyAlignment="1" applyProtection="1">
      <alignment horizontal="center"/>
      <protection locked="0"/>
    </xf>
    <xf numFmtId="0" fontId="1" fillId="2" borderId="5" xfId="1" applyFill="1" applyBorder="1" applyAlignment="1" applyProtection="1">
      <alignment horizontal="center"/>
      <protection locked="0"/>
    </xf>
    <xf numFmtId="0" fontId="1" fillId="2" borderId="6" xfId="1" applyFill="1" applyBorder="1" applyAlignment="1" applyProtection="1">
      <alignment horizontal="center"/>
      <protection locked="0"/>
    </xf>
    <xf numFmtId="0" fontId="1" fillId="0" borderId="1" xfId="1" applyBorder="1" applyAlignment="1">
      <alignment horizontal="center" vertical="top"/>
    </xf>
    <xf numFmtId="0" fontId="10" fillId="0" borderId="1" xfId="1" applyFont="1" applyBorder="1" applyAlignment="1">
      <alignment horizontal="center" vertical="top"/>
    </xf>
    <xf numFmtId="0" fontId="1" fillId="0" borderId="12" xfId="1" applyBorder="1" applyAlignment="1">
      <alignment horizontal="center" wrapText="1"/>
    </xf>
    <xf numFmtId="165" fontId="8" fillId="2" borderId="4" xfId="1" applyNumberFormat="1" applyFont="1" applyFill="1" applyBorder="1" applyAlignment="1" applyProtection="1">
      <alignment horizontal="center"/>
      <protection locked="0"/>
    </xf>
    <xf numFmtId="165" fontId="8" fillId="2" borderId="5" xfId="1" applyNumberFormat="1" applyFont="1" applyFill="1" applyBorder="1" applyAlignment="1" applyProtection="1">
      <alignment horizontal="center"/>
      <protection locked="0"/>
    </xf>
    <xf numFmtId="165" fontId="8" fillId="2" borderId="6" xfId="1" applyNumberFormat="1" applyFont="1" applyFill="1" applyBorder="1" applyAlignment="1" applyProtection="1">
      <alignment horizontal="center"/>
      <protection locked="0"/>
    </xf>
    <xf numFmtId="0" fontId="1" fillId="2" borderId="2" xfId="1" applyFill="1" applyBorder="1" applyAlignment="1" applyProtection="1">
      <alignment horizontal="center"/>
      <protection locked="0"/>
    </xf>
    <xf numFmtId="0" fontId="1" fillId="2" borderId="3" xfId="1" applyFill="1" applyBorder="1" applyAlignment="1" applyProtection="1">
      <alignment horizontal="center"/>
      <protection locked="0"/>
    </xf>
    <xf numFmtId="0" fontId="1" fillId="2" borderId="8" xfId="1" applyFill="1" applyBorder="1" applyAlignment="1" applyProtection="1">
      <alignment horizontal="center"/>
      <protection locked="0"/>
    </xf>
    <xf numFmtId="0" fontId="1" fillId="2" borderId="4" xfId="1" applyFill="1" applyBorder="1" applyAlignment="1" applyProtection="1">
      <alignment horizontal="left"/>
      <protection locked="0"/>
    </xf>
    <xf numFmtId="0" fontId="1" fillId="2" borderId="5" xfId="1" applyFill="1" applyBorder="1" applyAlignment="1" applyProtection="1">
      <alignment horizontal="left"/>
      <protection locked="0"/>
    </xf>
    <xf numFmtId="0" fontId="1" fillId="2" borderId="6" xfId="1" applyFill="1" applyBorder="1" applyAlignment="1" applyProtection="1">
      <alignment horizontal="left"/>
      <protection locked="0"/>
    </xf>
    <xf numFmtId="0" fontId="1" fillId="2" borderId="4" xfId="1" applyFill="1" applyBorder="1" applyProtection="1">
      <protection locked="0"/>
    </xf>
    <xf numFmtId="0" fontId="1" fillId="0" borderId="5" xfId="1" applyBorder="1" applyProtection="1">
      <protection locked="0"/>
    </xf>
    <xf numFmtId="0" fontId="1" fillId="0" borderId="6" xfId="1" applyBorder="1" applyProtection="1">
      <protection locked="0"/>
    </xf>
    <xf numFmtId="1" fontId="8" fillId="0" borderId="12" xfId="1" applyNumberFormat="1" applyFont="1" applyBorder="1" applyAlignment="1">
      <alignment horizontal="left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166" fontId="7" fillId="3" borderId="4" xfId="1" quotePrefix="1" applyNumberFormat="1" applyFont="1" applyFill="1" applyBorder="1" applyAlignment="1">
      <alignment horizontal="center"/>
    </xf>
    <xf numFmtId="166" fontId="7" fillId="3" borderId="5" xfId="1" applyNumberFormat="1" applyFont="1" applyFill="1" applyBorder="1" applyAlignment="1">
      <alignment horizontal="center"/>
    </xf>
    <xf numFmtId="0" fontId="6" fillId="7" borderId="2" xfId="1" applyFont="1" applyFill="1" applyBorder="1" applyAlignment="1">
      <alignment horizontal="center" vertical="center" wrapText="1"/>
    </xf>
    <xf numFmtId="0" fontId="6" fillId="7" borderId="3" xfId="1" applyFont="1" applyFill="1" applyBorder="1" applyAlignment="1">
      <alignment horizontal="center" vertical="center" wrapText="1"/>
    </xf>
    <xf numFmtId="0" fontId="6" fillId="7" borderId="8" xfId="1" applyFont="1" applyFill="1" applyBorder="1" applyAlignment="1">
      <alignment horizontal="center" vertical="center" wrapText="1"/>
    </xf>
    <xf numFmtId="0" fontId="6" fillId="7" borderId="7" xfId="1" applyFont="1" applyFill="1" applyBorder="1" applyAlignment="1">
      <alignment horizontal="center" vertical="center" wrapText="1"/>
    </xf>
    <xf numFmtId="0" fontId="6" fillId="7" borderId="0" xfId="1" applyFont="1" applyFill="1" applyAlignment="1">
      <alignment horizontal="center" vertical="center" wrapText="1"/>
    </xf>
    <xf numFmtId="0" fontId="6" fillId="7" borderId="9" xfId="1" applyFont="1" applyFill="1" applyBorder="1" applyAlignment="1">
      <alignment horizontal="center" vertical="center" wrapText="1"/>
    </xf>
    <xf numFmtId="0" fontId="7" fillId="3" borderId="7" xfId="1" applyFont="1" applyFill="1" applyBorder="1"/>
    <xf numFmtId="0" fontId="7" fillId="3" borderId="0" xfId="1" applyFont="1" applyFill="1"/>
    <xf numFmtId="0" fontId="6" fillId="3" borderId="7" xfId="1" applyFont="1" applyFill="1" applyBorder="1" applyAlignment="1">
      <alignment horizontal="center"/>
    </xf>
    <xf numFmtId="0" fontId="6" fillId="3" borderId="0" xfId="1" applyFont="1" applyFill="1" applyAlignment="1">
      <alignment horizontal="center"/>
    </xf>
    <xf numFmtId="0" fontId="6" fillId="3" borderId="9" xfId="1" applyFont="1" applyFill="1" applyBorder="1" applyAlignment="1">
      <alignment horizontal="center"/>
    </xf>
  </cellXfs>
  <cellStyles count="2">
    <cellStyle name="Normal 2" xfId="1" xr:uid="{00000000-0005-0000-0000-000000000000}"/>
    <cellStyle name="Standard" xfId="0" builtinId="0"/>
  </cellStyles>
  <dxfs count="1"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6" fmlaLink="$BC$9" fmlaRange="$BD$10:$BD$38" noThreeD="1" sel="14" val="12"/>
</file>

<file path=xl/ctrlProps/ctrlProp2.xml><?xml version="1.0" encoding="utf-8"?>
<formControlPr xmlns="http://schemas.microsoft.com/office/spreadsheetml/2009/9/main" objectType="Drop" dropStyle="combo" dx="16" fmlaRange="$AZ$43:$AZ$48" noThreeD="1" sel="2" val="0"/>
</file>

<file path=xl/ctrlProps/ctrlProp3.xml><?xml version="1.0" encoding="utf-8"?>
<formControlPr xmlns="http://schemas.microsoft.com/office/spreadsheetml/2009/9/main" objectType="Drop" dropStyle="combo" dx="16" fmlaLink="$BH$9" fmlaRange="$BI$10:$BI$21" noThreeD="1" sel="12" val="4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61394</xdr:colOff>
      <xdr:row>31</xdr:row>
      <xdr:rowOff>121706</xdr:rowOff>
    </xdr:from>
    <xdr:to>
      <xdr:col>44</xdr:col>
      <xdr:colOff>175694</xdr:colOff>
      <xdr:row>34</xdr:row>
      <xdr:rowOff>150281</xdr:rowOff>
    </xdr:to>
    <xdr:sp macro="" textlink="">
      <xdr:nvSpPr>
        <xdr:cNvPr id="2" name="Text Box 1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72727" y="6672789"/>
          <a:ext cx="2400300" cy="727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08000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Druckstoss nicht gerechnet :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MPD</a:t>
          </a:r>
          <a:r>
            <a:rPr lang="fr-CH" sz="1050" b="0" i="0" baseline="-25000">
              <a:latin typeface="Arial" pitchFamily="34" charset="0"/>
              <a:ea typeface="+mn-ea"/>
              <a:cs typeface="Arial" pitchFamily="34" charset="0"/>
            </a:rPr>
            <a:t>a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= DP + 2 bar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STP = MIN (MDP</a:t>
          </a:r>
          <a:r>
            <a:rPr lang="fr-CH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a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  <a:sym typeface="Symbol"/>
            </a:rPr>
            <a:t>*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1.5 ; MDP</a:t>
          </a:r>
          <a:r>
            <a:rPr lang="fr-CH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a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+ 5 bar)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STP min = 10 bar</a:t>
          </a:r>
        </a:p>
      </xdr:txBody>
    </xdr:sp>
    <xdr:clientData/>
  </xdr:twoCellAnchor>
  <xdr:twoCellAnchor>
    <xdr:from>
      <xdr:col>32</xdr:col>
      <xdr:colOff>63511</xdr:colOff>
      <xdr:row>34</xdr:row>
      <xdr:rowOff>210606</xdr:rowOff>
    </xdr:from>
    <xdr:to>
      <xdr:col>44</xdr:col>
      <xdr:colOff>175694</xdr:colOff>
      <xdr:row>38</xdr:row>
      <xdr:rowOff>53972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074844" y="7460189"/>
          <a:ext cx="2398183" cy="774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08000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Druckstoss berechnet: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MDP</a:t>
          </a:r>
          <a:r>
            <a:rPr lang="fr-CH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c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= DP + Druckstoss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STP = MDP</a:t>
          </a:r>
          <a:r>
            <a:rPr lang="fr-CH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c 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+ 1 bar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STP min = 10 bar</a:t>
          </a:r>
        </a:p>
      </xdr:txBody>
    </xdr:sp>
    <xdr:clientData/>
  </xdr:twoCellAnchor>
  <xdr:twoCellAnchor>
    <xdr:from>
      <xdr:col>32</xdr:col>
      <xdr:colOff>60336</xdr:colOff>
      <xdr:row>38</xdr:row>
      <xdr:rowOff>122764</xdr:rowOff>
    </xdr:from>
    <xdr:to>
      <xdr:col>44</xdr:col>
      <xdr:colOff>165111</xdr:colOff>
      <xdr:row>39</xdr:row>
      <xdr:rowOff>70906</xdr:rowOff>
    </xdr:to>
    <xdr:sp macro="" textlink="">
      <xdr:nvSpPr>
        <xdr:cNvPr id="4" name="Text Box 1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071669" y="8303681"/>
          <a:ext cx="23907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08000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Für PE S8, STP max = 12 bar</a:t>
          </a:r>
        </a:p>
      </xdr:txBody>
    </xdr:sp>
    <xdr:clientData/>
  </xdr:twoCellAnchor>
  <xdr:twoCellAnchor>
    <xdr:from>
      <xdr:col>25</xdr:col>
      <xdr:colOff>171449</xdr:colOff>
      <xdr:row>25</xdr:row>
      <xdr:rowOff>200025</xdr:rowOff>
    </xdr:from>
    <xdr:to>
      <xdr:col>45</xdr:col>
      <xdr:colOff>127000</xdr:colOff>
      <xdr:row>27</xdr:row>
      <xdr:rowOff>85725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849282" y="5354108"/>
          <a:ext cx="3765551" cy="35136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08000" tIns="108000" rIns="0" bIns="0" anchor="t" upright="1"/>
        <a:lstStyle/>
        <a:p>
          <a:pPr algn="l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Δ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</a:t>
          </a:r>
          <a:r>
            <a:rPr lang="fr-CH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zul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= 0.1 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  <a:sym typeface="Symbol"/>
            </a:rPr>
            <a:t>*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f 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  <a:sym typeface="Symbol"/>
            </a:rPr>
            <a:t>*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</a:t>
          </a:r>
          <a:r>
            <a:rPr lang="el-G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π </a:t>
          </a: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  <a:sym typeface="Symbol"/>
            </a:rPr>
            <a:t>* 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ID</a:t>
          </a:r>
          <a:r>
            <a:rPr lang="fr-CH" sz="1000" b="0" i="0" u="none" strike="noStrike" baseline="30000">
              <a:solidFill>
                <a:srgbClr val="000000"/>
              </a:solidFill>
              <a:latin typeface="Arial"/>
              <a:cs typeface="Arial"/>
            </a:rPr>
            <a:t>2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  <a:sym typeface="Symbol"/>
            </a:rPr>
            <a:t>*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L) / 4 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  <a:sym typeface="Symbol"/>
            </a:rPr>
            <a:t>* </a:t>
          </a:r>
          <a:r>
            <a:rPr lang="el-G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Δ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</a:t>
          </a:r>
          <a:r>
            <a:rPr lang="fr-CH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zul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  <a:sym typeface="Symbol"/>
            </a:rPr>
            <a:t>*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(1/K</a:t>
          </a:r>
          <a:r>
            <a:rPr lang="fr-CH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w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+ ID / (E</a:t>
          </a:r>
          <a:r>
            <a:rPr lang="fr-CH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R 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  <a:sym typeface="Symbol"/>
            </a:rPr>
            <a:t>* s))</a:t>
          </a:r>
          <a:endParaRPr lang="fr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184150</xdr:colOff>
          <xdr:row>20</xdr:row>
          <xdr:rowOff>19050</xdr:rowOff>
        </xdr:from>
        <xdr:to>
          <xdr:col>14</xdr:col>
          <xdr:colOff>171450</xdr:colOff>
          <xdr:row>20</xdr:row>
          <xdr:rowOff>222250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14</xdr:row>
          <xdr:rowOff>12700</xdr:rowOff>
        </xdr:from>
        <xdr:to>
          <xdr:col>33</xdr:col>
          <xdr:colOff>12700</xdr:colOff>
          <xdr:row>14</xdr:row>
          <xdr:rowOff>209550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18</xdr:row>
          <xdr:rowOff>12700</xdr:rowOff>
        </xdr:from>
        <xdr:to>
          <xdr:col>18</xdr:col>
          <xdr:colOff>31750</xdr:colOff>
          <xdr:row>18</xdr:row>
          <xdr:rowOff>222250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43962</xdr:colOff>
      <xdr:row>2</xdr:row>
      <xdr:rowOff>80597</xdr:rowOff>
    </xdr:from>
    <xdr:to>
      <xdr:col>6</xdr:col>
      <xdr:colOff>169399</xdr:colOff>
      <xdr:row>3</xdr:row>
      <xdr:rowOff>114007</xdr:rowOff>
    </xdr:to>
    <xdr:pic>
      <xdr:nvPicPr>
        <xdr:cNvPr id="6" name="Grafik 8" descr="Ein Bild, das Logo, Symbol, Grafiken, Schrift enthält.&#10;&#10;Automatisch generierte Beschreibung">
          <a:extLst>
            <a:ext uri="{FF2B5EF4-FFF2-40B4-BE49-F238E27FC236}">
              <a16:creationId xmlns:a16="http://schemas.microsoft.com/office/drawing/2014/main" id="{26840C2F-06C0-4247-B1BD-866068345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077" y="417635"/>
          <a:ext cx="97536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84</xdr:col>
      <xdr:colOff>19050</xdr:colOff>
      <xdr:row>9</xdr:row>
      <xdr:rowOff>76200</xdr:rowOff>
    </xdr:from>
    <xdr:to>
      <xdr:col>93</xdr:col>
      <xdr:colOff>181955</xdr:colOff>
      <xdr:row>39</xdr:row>
      <xdr:rowOff>29516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6C1366B7-3D5A-10B2-B270-6714002D26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090475" y="1581150"/>
          <a:ext cx="7020905" cy="67446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G97"/>
  <sheetViews>
    <sheetView tabSelected="1" zoomScaleNormal="100" workbookViewId="0">
      <selection activeCell="AA35" sqref="AA35"/>
    </sheetView>
  </sheetViews>
  <sheetFormatPr baseColWidth="10" defaultColWidth="11.453125" defaultRowHeight="12.5" x14ac:dyDescent="0.25"/>
  <cols>
    <col min="1" max="1" width="3.7265625" style="1" customWidth="1"/>
    <col min="2" max="2" width="0.81640625" style="1" customWidth="1"/>
    <col min="3" max="47" width="2.81640625" style="1" customWidth="1"/>
    <col min="48" max="48" width="0.81640625" style="1" customWidth="1"/>
    <col min="49" max="50" width="3.7265625" style="2" customWidth="1"/>
    <col min="51" max="51" width="46.1796875" style="1" customWidth="1"/>
    <col min="52" max="55" width="11.453125" style="1"/>
    <col min="56" max="56" width="14.1796875" style="1" customWidth="1"/>
    <col min="57" max="57" width="4" style="1" customWidth="1"/>
    <col min="58" max="58" width="5.54296875" style="1" customWidth="1"/>
    <col min="59" max="59" width="22.26953125" style="1" customWidth="1"/>
    <col min="60" max="60" width="6.453125" style="1" customWidth="1"/>
    <col min="61" max="61" width="28.453125" style="1" customWidth="1"/>
    <col min="62" max="62" width="8.54296875" style="1" bestFit="1" customWidth="1"/>
    <col min="63" max="63" width="11.1796875" style="1" customWidth="1"/>
    <col min="64" max="64" width="8.54296875" style="1" bestFit="1" customWidth="1"/>
    <col min="65" max="65" width="29.81640625" style="1" customWidth="1"/>
    <col min="66" max="66" width="5.26953125" style="1" bestFit="1" customWidth="1"/>
    <col min="67" max="67" width="12" style="1" bestFit="1" customWidth="1"/>
    <col min="68" max="68" width="10.1796875" style="1" bestFit="1" customWidth="1"/>
    <col min="69" max="69" width="6.7265625" style="1" bestFit="1" customWidth="1"/>
    <col min="70" max="70" width="11.81640625" style="1" bestFit="1" customWidth="1"/>
    <col min="71" max="71" width="6.7265625" style="1" bestFit="1" customWidth="1"/>
    <col min="72" max="72" width="7.81640625" style="1" bestFit="1" customWidth="1"/>
    <col min="73" max="73" width="5" style="1" bestFit="1" customWidth="1"/>
    <col min="74" max="74" width="14.26953125" style="1" customWidth="1"/>
    <col min="75" max="75" width="20.26953125" style="1" bestFit="1" customWidth="1"/>
    <col min="76" max="76" width="7.81640625" style="1" customWidth="1"/>
    <col min="77" max="16384" width="11.453125" style="1"/>
  </cols>
  <sheetData>
    <row r="1" spans="2:85" ht="13" x14ac:dyDescent="0.3"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4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</row>
    <row r="2" spans="2:85" x14ac:dyDescent="0.25">
      <c r="AB2" s="3"/>
    </row>
    <row r="3" spans="2:85" ht="21" customHeight="1" x14ac:dyDescent="0.45">
      <c r="B3" s="4"/>
      <c r="C3" s="5"/>
      <c r="D3" s="5"/>
      <c r="E3" s="5"/>
      <c r="F3" s="5"/>
      <c r="G3" s="94"/>
      <c r="H3" s="97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6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5"/>
      <c r="AN3" s="5"/>
      <c r="AO3" s="96"/>
      <c r="AP3" s="199" t="s">
        <v>141</v>
      </c>
      <c r="AQ3" s="200"/>
      <c r="AR3" s="200"/>
      <c r="AS3" s="200"/>
      <c r="AT3" s="200"/>
      <c r="AU3" s="200"/>
      <c r="AV3" s="94"/>
      <c r="AW3" s="1"/>
      <c r="AX3" s="1"/>
    </row>
    <row r="4" spans="2:85" ht="12" customHeight="1" x14ac:dyDescent="0.25">
      <c r="B4" s="98"/>
      <c r="C4" s="99"/>
      <c r="D4" s="99"/>
      <c r="E4" s="99"/>
      <c r="F4" s="99"/>
      <c r="G4" s="100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  <c r="AK4" s="201"/>
      <c r="AL4" s="201"/>
      <c r="AM4" s="201"/>
      <c r="AN4" s="201"/>
      <c r="AO4" s="201"/>
      <c r="AP4" s="202" t="s">
        <v>142</v>
      </c>
      <c r="AQ4" s="203"/>
      <c r="AR4" s="203"/>
      <c r="AS4" s="203"/>
      <c r="AT4" s="203"/>
      <c r="AU4" s="203"/>
      <c r="AV4" s="7"/>
      <c r="AW4" s="1"/>
      <c r="AX4" s="1"/>
    </row>
    <row r="5" spans="2:85" ht="10" customHeight="1" x14ac:dyDescent="0.25">
      <c r="B5" s="4"/>
      <c r="C5" s="5"/>
      <c r="D5" s="5"/>
      <c r="E5" s="5"/>
      <c r="F5" s="5"/>
      <c r="G5" s="94"/>
      <c r="H5" s="204" t="s">
        <v>131</v>
      </c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05"/>
      <c r="AF5" s="205"/>
      <c r="AG5" s="205"/>
      <c r="AH5" s="205"/>
      <c r="AI5" s="205"/>
      <c r="AJ5" s="205"/>
      <c r="AK5" s="205"/>
      <c r="AL5" s="205"/>
      <c r="AM5" s="205"/>
      <c r="AN5" s="205"/>
      <c r="AO5" s="206"/>
      <c r="AP5" s="210"/>
      <c r="AQ5" s="211"/>
      <c r="AR5" s="211"/>
      <c r="AS5" s="211"/>
      <c r="AT5" s="211"/>
      <c r="AU5" s="211"/>
      <c r="AV5" s="10"/>
      <c r="AW5" s="1"/>
      <c r="AX5" s="1"/>
    </row>
    <row r="6" spans="2:85" ht="21.75" customHeight="1" x14ac:dyDescent="0.3">
      <c r="B6" s="8"/>
      <c r="C6" s="9"/>
      <c r="D6" s="9"/>
      <c r="E6" s="9"/>
      <c r="F6" s="9"/>
      <c r="G6" s="9"/>
      <c r="H6" s="207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9"/>
      <c r="AP6" s="212"/>
      <c r="AQ6" s="213"/>
      <c r="AR6" s="213"/>
      <c r="AS6" s="213"/>
      <c r="AT6" s="213"/>
      <c r="AU6" s="213"/>
      <c r="AV6" s="214"/>
      <c r="AW6" s="1"/>
      <c r="AX6" s="1"/>
      <c r="BD6" s="11" t="s">
        <v>81</v>
      </c>
      <c r="BI6" s="1" t="str">
        <f>INDEX(BI10:BI21,BH9)</f>
        <v>PE 100 S3.2/ SDR7.4</v>
      </c>
    </row>
    <row r="7" spans="2:85" ht="4" customHeight="1" x14ac:dyDescent="0.25">
      <c r="B7" s="8"/>
      <c r="C7" s="9"/>
      <c r="D7" s="9"/>
      <c r="E7" s="9"/>
      <c r="F7" s="9"/>
      <c r="G7" s="9"/>
      <c r="H7" s="101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3"/>
      <c r="AP7" s="9"/>
      <c r="AQ7" s="9"/>
      <c r="AR7" s="9"/>
      <c r="AS7" s="9"/>
      <c r="AT7" s="9"/>
      <c r="AU7" s="9"/>
      <c r="AV7" s="10"/>
      <c r="AW7" s="1"/>
      <c r="AX7" s="1"/>
    </row>
    <row r="8" spans="2:85" ht="7" customHeight="1" x14ac:dyDescent="0.25"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4"/>
    </row>
    <row r="9" spans="2:85" ht="18" customHeight="1" x14ac:dyDescent="0.3">
      <c r="B9" s="15"/>
      <c r="N9" s="183" t="s">
        <v>82</v>
      </c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V9" s="16"/>
      <c r="AY9" s="2"/>
      <c r="AZ9" s="17"/>
      <c r="BC9" s="18">
        <v>14</v>
      </c>
      <c r="BD9" s="11">
        <f>INDEX(BD10:BD38,BC9)</f>
        <v>160</v>
      </c>
      <c r="BE9" s="19"/>
      <c r="BG9" s="19"/>
      <c r="BH9" s="20">
        <v>12</v>
      </c>
      <c r="BI9" s="21" t="s">
        <v>34</v>
      </c>
      <c r="BJ9" s="22" t="s">
        <v>122</v>
      </c>
      <c r="BK9" s="23" t="s">
        <v>123</v>
      </c>
      <c r="BL9" s="23" t="s">
        <v>124</v>
      </c>
      <c r="BM9" s="23" t="s">
        <v>34</v>
      </c>
      <c r="BN9" s="23" t="s">
        <v>148</v>
      </c>
      <c r="BO9" s="23" t="s">
        <v>81</v>
      </c>
      <c r="BP9" s="24" t="s">
        <v>125</v>
      </c>
      <c r="BQ9" s="24"/>
      <c r="BR9" s="23" t="s">
        <v>126</v>
      </c>
      <c r="BS9" s="23"/>
      <c r="BT9" s="23" t="s">
        <v>127</v>
      </c>
      <c r="BU9" s="24" t="s">
        <v>0</v>
      </c>
      <c r="BV9" s="24" t="s">
        <v>130</v>
      </c>
      <c r="BW9" s="24" t="s">
        <v>152</v>
      </c>
      <c r="BY9" s="23" t="s">
        <v>1</v>
      </c>
      <c r="BZ9" s="185" t="s">
        <v>2</v>
      </c>
      <c r="CA9" s="185"/>
      <c r="CB9" s="185" t="s">
        <v>3</v>
      </c>
      <c r="CC9" s="185"/>
      <c r="CD9" s="185" t="s">
        <v>143</v>
      </c>
      <c r="CE9" s="185"/>
      <c r="CG9" s="43" t="s">
        <v>145</v>
      </c>
    </row>
    <row r="10" spans="2:85" ht="18" customHeight="1" x14ac:dyDescent="0.3">
      <c r="B10" s="15"/>
      <c r="C10" s="12"/>
      <c r="D10" s="25" t="s">
        <v>4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04"/>
      <c r="S10" s="13"/>
      <c r="T10" s="13"/>
      <c r="U10" s="13"/>
      <c r="V10" s="13"/>
      <c r="W10" s="13"/>
      <c r="X10" s="13"/>
      <c r="Y10" s="13"/>
      <c r="Z10" s="13"/>
      <c r="AA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4"/>
      <c r="AV10" s="16"/>
      <c r="AZ10" s="17"/>
      <c r="BC10" s="1">
        <v>1</v>
      </c>
      <c r="BE10" s="19"/>
      <c r="BF10" s="26"/>
      <c r="BG10" s="27" t="s">
        <v>32</v>
      </c>
      <c r="BH10" s="28"/>
      <c r="BI10" s="29"/>
      <c r="BJ10" s="30"/>
      <c r="BK10" s="31"/>
      <c r="BL10" s="31">
        <f t="shared" ref="BL10:BL31" si="0">IF(AND(BJ10=1,BK10=1),1,0)</f>
        <v>0</v>
      </c>
      <c r="BM10" s="23"/>
      <c r="BN10" s="23" t="s">
        <v>15</v>
      </c>
      <c r="BO10" s="32"/>
      <c r="BP10" s="31" t="s">
        <v>150</v>
      </c>
      <c r="BQ10" s="112" t="s">
        <v>151</v>
      </c>
      <c r="BR10" s="31" t="s">
        <v>150</v>
      </c>
      <c r="BS10" s="112" t="s">
        <v>151</v>
      </c>
      <c r="BT10" s="23"/>
      <c r="BU10" s="23"/>
      <c r="BV10" s="23"/>
      <c r="BW10" s="23" t="s">
        <v>158</v>
      </c>
      <c r="BY10" s="23"/>
      <c r="BZ10" s="23"/>
      <c r="CA10" s="23"/>
      <c r="CB10" s="23"/>
      <c r="CC10" s="23"/>
      <c r="CD10" s="23"/>
      <c r="CE10" s="23"/>
    </row>
    <row r="11" spans="2:85" ht="18" customHeight="1" x14ac:dyDescent="0.3">
      <c r="B11" s="15"/>
      <c r="C11" s="15"/>
      <c r="AU11" s="16"/>
      <c r="AV11" s="16"/>
      <c r="AZ11" s="17"/>
      <c r="BC11" s="1">
        <v>2</v>
      </c>
      <c r="BD11" s="19">
        <v>32</v>
      </c>
      <c r="BE11" s="33"/>
      <c r="BF11" s="34">
        <v>3</v>
      </c>
      <c r="BG11" s="35"/>
      <c r="BH11" s="90"/>
      <c r="BI11" s="91" t="s">
        <v>133</v>
      </c>
      <c r="BJ11" s="30">
        <f t="shared" ref="BJ11:BJ31" si="1">IF(BM11=BI$6,1,0)</f>
        <v>0</v>
      </c>
      <c r="BK11" s="31">
        <f>IF($BD$9&lt;=400,1,0)</f>
        <v>1</v>
      </c>
      <c r="BL11" s="31">
        <f t="shared" si="0"/>
        <v>0</v>
      </c>
      <c r="BM11" s="115" t="s">
        <v>133</v>
      </c>
      <c r="BN11" s="116"/>
      <c r="BO11" s="31" t="s">
        <v>5</v>
      </c>
      <c r="BP11" s="31">
        <v>24</v>
      </c>
      <c r="BQ11" s="31"/>
      <c r="BR11" s="31">
        <v>3</v>
      </c>
      <c r="BS11" s="31"/>
      <c r="BT11" s="24">
        <v>170000</v>
      </c>
      <c r="BU11" s="24">
        <v>1.5</v>
      </c>
      <c r="BV11" s="24">
        <v>1.5</v>
      </c>
      <c r="BW11" s="24">
        <f t="shared" ref="BW11:BW16" si="2">0.0084*$N$42+0.0168</f>
        <v>0.26879999999999998</v>
      </c>
      <c r="BY11" s="23"/>
      <c r="BZ11" s="23"/>
      <c r="CA11" s="23"/>
      <c r="CB11" s="23"/>
      <c r="CC11" s="23"/>
      <c r="CD11" s="23"/>
      <c r="CE11" s="23"/>
    </row>
    <row r="12" spans="2:85" ht="18" customHeight="1" x14ac:dyDescent="0.3">
      <c r="B12" s="15"/>
      <c r="C12" s="15"/>
      <c r="D12" s="1" t="s">
        <v>83</v>
      </c>
      <c r="K12" s="186"/>
      <c r="L12" s="187"/>
      <c r="M12" s="187"/>
      <c r="N12" s="187"/>
      <c r="O12" s="187"/>
      <c r="P12" s="187"/>
      <c r="Q12" s="187"/>
      <c r="R12" s="187"/>
      <c r="S12" s="187"/>
      <c r="T12" s="187"/>
      <c r="U12" s="188"/>
      <c r="AA12" s="1" t="s">
        <v>39</v>
      </c>
      <c r="AL12" s="189"/>
      <c r="AM12" s="190"/>
      <c r="AN12" s="190"/>
      <c r="AO12" s="190"/>
      <c r="AP12" s="190"/>
      <c r="AQ12" s="190"/>
      <c r="AR12" s="191"/>
      <c r="AU12" s="16"/>
      <c r="AV12" s="16"/>
      <c r="AZ12" s="17"/>
      <c r="BC12" s="1">
        <v>3</v>
      </c>
      <c r="BD12" s="19">
        <v>40</v>
      </c>
      <c r="BE12" s="33"/>
      <c r="BF12" s="28"/>
      <c r="BG12" s="36" t="s">
        <v>36</v>
      </c>
      <c r="BH12" s="90"/>
      <c r="BI12" s="91" t="s">
        <v>35</v>
      </c>
      <c r="BJ12" s="30">
        <f t="shared" si="1"/>
        <v>0</v>
      </c>
      <c r="BK12" s="24">
        <f>IF(AND($BD$9&lt;=700,$BD$9&gt;400),1,0)</f>
        <v>0</v>
      </c>
      <c r="BL12" s="31">
        <f t="shared" si="0"/>
        <v>0</v>
      </c>
      <c r="BM12" s="115" t="s">
        <v>133</v>
      </c>
      <c r="BN12" s="116"/>
      <c r="BO12" s="24" t="s">
        <v>129</v>
      </c>
      <c r="BP12" s="31">
        <v>24</v>
      </c>
      <c r="BQ12" s="31"/>
      <c r="BR12" s="31">
        <v>12</v>
      </c>
      <c r="BS12" s="31"/>
      <c r="BT12" s="24">
        <v>170000</v>
      </c>
      <c r="BU12" s="24">
        <v>1.5</v>
      </c>
      <c r="BV12" s="24">
        <v>1</v>
      </c>
      <c r="BW12" s="24">
        <f t="shared" si="2"/>
        <v>0.26879999999999998</v>
      </c>
      <c r="BY12" s="24" t="s">
        <v>6</v>
      </c>
      <c r="BZ12" s="24" t="s">
        <v>7</v>
      </c>
      <c r="CA12" s="24" t="s">
        <v>8</v>
      </c>
      <c r="CB12" s="24" t="s">
        <v>7</v>
      </c>
      <c r="CC12" s="24" t="s">
        <v>8</v>
      </c>
      <c r="CD12" s="24" t="s">
        <v>7</v>
      </c>
      <c r="CE12" s="24" t="s">
        <v>8</v>
      </c>
    </row>
    <row r="13" spans="2:85" ht="18" customHeight="1" x14ac:dyDescent="0.3">
      <c r="B13" s="15"/>
      <c r="C13" s="15"/>
      <c r="D13" s="1" t="s">
        <v>41</v>
      </c>
      <c r="K13" s="192"/>
      <c r="L13" s="193"/>
      <c r="M13" s="193"/>
      <c r="N13" s="193"/>
      <c r="O13" s="193"/>
      <c r="P13" s="193"/>
      <c r="Q13" s="193"/>
      <c r="R13" s="193"/>
      <c r="S13" s="193"/>
      <c r="T13" s="193"/>
      <c r="U13" s="194"/>
      <c r="Y13" s="1" t="s">
        <v>42</v>
      </c>
      <c r="AA13" s="195"/>
      <c r="AB13" s="196"/>
      <c r="AC13" s="196"/>
      <c r="AD13" s="196"/>
      <c r="AE13" s="196"/>
      <c r="AF13" s="196"/>
      <c r="AG13" s="196"/>
      <c r="AH13" s="196"/>
      <c r="AI13" s="196"/>
      <c r="AJ13" s="196"/>
      <c r="AK13" s="196"/>
      <c r="AL13" s="196"/>
      <c r="AM13" s="196"/>
      <c r="AN13" s="196"/>
      <c r="AO13" s="196"/>
      <c r="AP13" s="196"/>
      <c r="AQ13" s="196"/>
      <c r="AR13" s="197"/>
      <c r="AU13" s="16"/>
      <c r="AV13" s="16"/>
      <c r="AW13" s="1"/>
      <c r="AX13" s="1"/>
      <c r="AZ13" s="17"/>
      <c r="BC13" s="1">
        <v>4</v>
      </c>
      <c r="BD13" s="19">
        <v>50</v>
      </c>
      <c r="BE13" s="33"/>
      <c r="BF13" s="28"/>
      <c r="BG13" s="36" t="s">
        <v>9</v>
      </c>
      <c r="BH13" s="90"/>
      <c r="BI13" s="91" t="s">
        <v>134</v>
      </c>
      <c r="BJ13" s="30">
        <f t="shared" si="1"/>
        <v>0</v>
      </c>
      <c r="BK13" s="24">
        <f>IF($BD$9&gt;700,1,0)</f>
        <v>0</v>
      </c>
      <c r="BL13" s="31">
        <f t="shared" si="0"/>
        <v>0</v>
      </c>
      <c r="BM13" s="115" t="s">
        <v>133</v>
      </c>
      <c r="BN13" s="116"/>
      <c r="BO13" s="24" t="s">
        <v>10</v>
      </c>
      <c r="BP13" s="31">
        <v>24</v>
      </c>
      <c r="BQ13" s="31"/>
      <c r="BR13" s="31">
        <v>24</v>
      </c>
      <c r="BS13" s="31"/>
      <c r="BT13" s="24">
        <v>170000</v>
      </c>
      <c r="BU13" s="24">
        <v>1.5</v>
      </c>
      <c r="BV13" s="24">
        <v>1</v>
      </c>
      <c r="BW13" s="24">
        <f t="shared" si="2"/>
        <v>0.26879999999999998</v>
      </c>
      <c r="BY13" s="24">
        <v>25</v>
      </c>
      <c r="BZ13" s="24"/>
      <c r="CA13" s="24"/>
      <c r="CB13" s="24">
        <v>2.2999999999999998</v>
      </c>
      <c r="CC13" s="24">
        <f t="shared" ref="CC13:CC29" si="3">BY13-CB13*2</f>
        <v>20.399999999999999</v>
      </c>
      <c r="CD13" s="109">
        <v>3.4</v>
      </c>
      <c r="CE13" s="24">
        <f>BY13-CD13*2</f>
        <v>18.2</v>
      </c>
    </row>
    <row r="14" spans="2:85" ht="18" customHeight="1" x14ac:dyDescent="0.3">
      <c r="B14" s="15"/>
      <c r="C14" s="15"/>
      <c r="D14" s="1" t="s">
        <v>40</v>
      </c>
      <c r="K14" s="192"/>
      <c r="L14" s="193"/>
      <c r="M14" s="193"/>
      <c r="N14" s="193"/>
      <c r="O14" s="193"/>
      <c r="P14" s="193"/>
      <c r="Q14" s="193"/>
      <c r="R14" s="193"/>
      <c r="S14" s="193"/>
      <c r="T14" s="193"/>
      <c r="U14" s="194"/>
      <c r="W14" s="1" t="s">
        <v>11</v>
      </c>
      <c r="AA14" s="195"/>
      <c r="AB14" s="196"/>
      <c r="AC14" s="196"/>
      <c r="AD14" s="196"/>
      <c r="AE14" s="196"/>
      <c r="AF14" s="196"/>
      <c r="AG14" s="196"/>
      <c r="AH14" s="196"/>
      <c r="AI14" s="196"/>
      <c r="AJ14" s="196"/>
      <c r="AK14" s="196"/>
      <c r="AL14" s="196"/>
      <c r="AM14" s="196"/>
      <c r="AN14" s="196"/>
      <c r="AO14" s="196"/>
      <c r="AP14" s="196"/>
      <c r="AQ14" s="196"/>
      <c r="AR14" s="197"/>
      <c r="AU14" s="16"/>
      <c r="AV14" s="16"/>
      <c r="AW14" s="1"/>
      <c r="AX14" s="1"/>
      <c r="AZ14" s="17"/>
      <c r="BC14" s="1">
        <v>5</v>
      </c>
      <c r="BD14" s="19">
        <v>63</v>
      </c>
      <c r="BE14" s="33"/>
      <c r="BF14" s="28"/>
      <c r="BG14" s="35" t="s">
        <v>128</v>
      </c>
      <c r="BH14" s="90"/>
      <c r="BI14" s="91" t="s">
        <v>135</v>
      </c>
      <c r="BJ14" s="30">
        <f t="shared" si="1"/>
        <v>0</v>
      </c>
      <c r="BK14" s="31">
        <f>IF($BD$9&lt;=400,1,0)</f>
        <v>1</v>
      </c>
      <c r="BL14" s="31">
        <f t="shared" si="0"/>
        <v>0</v>
      </c>
      <c r="BM14" s="115" t="s">
        <v>134</v>
      </c>
      <c r="BN14" s="116"/>
      <c r="BO14" s="31" t="s">
        <v>5</v>
      </c>
      <c r="BP14" s="31">
        <v>24</v>
      </c>
      <c r="BQ14" s="31"/>
      <c r="BR14" s="31">
        <v>3</v>
      </c>
      <c r="BS14" s="31"/>
      <c r="BT14" s="24">
        <v>210000</v>
      </c>
      <c r="BU14" s="24">
        <v>1.5</v>
      </c>
      <c r="BV14" s="24">
        <v>1.5</v>
      </c>
      <c r="BW14" s="24">
        <f t="shared" si="2"/>
        <v>0.26879999999999998</v>
      </c>
      <c r="BY14" s="24">
        <v>32</v>
      </c>
      <c r="BZ14" s="24"/>
      <c r="CA14" s="24"/>
      <c r="CB14" s="24">
        <v>2.9</v>
      </c>
      <c r="CC14" s="24">
        <f t="shared" si="3"/>
        <v>26.2</v>
      </c>
      <c r="CD14" s="109">
        <v>4.3</v>
      </c>
      <c r="CE14" s="24">
        <f t="shared" ref="CE14:CE39" si="4">BY14-CD14*2</f>
        <v>23.4</v>
      </c>
    </row>
    <row r="15" spans="2:85" ht="18" customHeight="1" x14ac:dyDescent="0.3">
      <c r="B15" s="15"/>
      <c r="C15" s="37"/>
      <c r="D15" s="3" t="s">
        <v>84</v>
      </c>
      <c r="E15" s="3"/>
      <c r="F15" s="3"/>
      <c r="G15" s="3"/>
      <c r="H15" s="3"/>
      <c r="I15" s="3"/>
      <c r="J15" s="3"/>
      <c r="K15" s="192"/>
      <c r="L15" s="193"/>
      <c r="M15" s="193"/>
      <c r="N15" s="193"/>
      <c r="O15" s="193"/>
      <c r="P15" s="193"/>
      <c r="Q15" s="193"/>
      <c r="R15" s="193"/>
      <c r="S15" s="193"/>
      <c r="T15" s="193"/>
      <c r="U15" s="194"/>
      <c r="V15" s="3"/>
      <c r="W15" s="3" t="s">
        <v>43</v>
      </c>
      <c r="X15" s="3"/>
      <c r="Y15" s="3"/>
      <c r="Z15" s="3"/>
      <c r="AA15" s="3"/>
      <c r="AC15" s="3"/>
      <c r="AD15" s="3"/>
      <c r="AE15" s="3"/>
      <c r="AF15" s="3"/>
      <c r="AG15" s="3"/>
      <c r="AH15" s="3"/>
      <c r="AI15" s="3"/>
      <c r="AJ15" s="3"/>
      <c r="AK15" s="3"/>
      <c r="AL15" s="3" t="s">
        <v>44</v>
      </c>
      <c r="AM15" s="3"/>
      <c r="AN15" s="3"/>
      <c r="AO15" s="38"/>
      <c r="AP15" s="3"/>
      <c r="AQ15" s="180"/>
      <c r="AR15" s="182"/>
      <c r="AS15" s="3" t="s">
        <v>12</v>
      </c>
      <c r="AT15" s="3"/>
      <c r="AU15" s="39"/>
      <c r="AV15" s="16"/>
      <c r="AW15" s="1"/>
      <c r="AX15" s="1"/>
      <c r="AZ15" s="17"/>
      <c r="BC15" s="1">
        <v>6</v>
      </c>
      <c r="BD15" s="19">
        <v>75</v>
      </c>
      <c r="BE15" s="33"/>
      <c r="BF15" s="40"/>
      <c r="BG15" s="41" t="s">
        <v>37</v>
      </c>
      <c r="BH15" s="90"/>
      <c r="BI15" s="91" t="s">
        <v>71</v>
      </c>
      <c r="BJ15" s="30">
        <f t="shared" si="1"/>
        <v>0</v>
      </c>
      <c r="BK15" s="24">
        <f>IF(AND($BD$9&lt;=700,$BD$9&gt;400),1,0)</f>
        <v>0</v>
      </c>
      <c r="BL15" s="31">
        <f t="shared" si="0"/>
        <v>0</v>
      </c>
      <c r="BM15" s="115" t="s">
        <v>134</v>
      </c>
      <c r="BN15" s="116"/>
      <c r="BO15" s="24" t="s">
        <v>129</v>
      </c>
      <c r="BP15" s="31">
        <v>24</v>
      </c>
      <c r="BQ15" s="31"/>
      <c r="BR15" s="31">
        <v>12</v>
      </c>
      <c r="BS15" s="31"/>
      <c r="BT15" s="24">
        <v>210000</v>
      </c>
      <c r="BU15" s="24">
        <v>1.5</v>
      </c>
      <c r="BV15" s="24">
        <v>1</v>
      </c>
      <c r="BW15" s="24">
        <f t="shared" si="2"/>
        <v>0.26879999999999998</v>
      </c>
      <c r="BY15" s="24">
        <v>40</v>
      </c>
      <c r="BZ15" s="24"/>
      <c r="CA15" s="24"/>
      <c r="CB15" s="24">
        <v>3.7</v>
      </c>
      <c r="CC15" s="24">
        <f t="shared" si="3"/>
        <v>32.6</v>
      </c>
      <c r="CD15" s="109">
        <v>5.4</v>
      </c>
      <c r="CE15" s="24">
        <f t="shared" si="4"/>
        <v>29.2</v>
      </c>
    </row>
    <row r="16" spans="2:85" ht="12.75" customHeight="1" x14ac:dyDescent="0.3">
      <c r="B16" s="15"/>
      <c r="K16" s="19"/>
      <c r="L16" s="19"/>
      <c r="AA16" s="42"/>
      <c r="AB16" s="42"/>
      <c r="AV16" s="16"/>
      <c r="AW16" s="1"/>
      <c r="AX16" s="1"/>
      <c r="AZ16" s="17"/>
      <c r="BC16" s="1">
        <v>7</v>
      </c>
      <c r="BD16" s="19">
        <v>80</v>
      </c>
      <c r="BE16" s="33"/>
      <c r="BH16" s="90"/>
      <c r="BI16" s="91" t="s">
        <v>128</v>
      </c>
      <c r="BJ16" s="30">
        <f t="shared" si="1"/>
        <v>0</v>
      </c>
      <c r="BK16" s="24">
        <f>IF($BD$9&gt;700,1,0)</f>
        <v>0</v>
      </c>
      <c r="BL16" s="31">
        <f t="shared" si="0"/>
        <v>0</v>
      </c>
      <c r="BM16" s="115" t="s">
        <v>134</v>
      </c>
      <c r="BN16" s="116"/>
      <c r="BO16" s="24" t="s">
        <v>10</v>
      </c>
      <c r="BP16" s="31">
        <v>24</v>
      </c>
      <c r="BQ16" s="31"/>
      <c r="BR16" s="31">
        <v>24</v>
      </c>
      <c r="BS16" s="31"/>
      <c r="BT16" s="24">
        <v>210000</v>
      </c>
      <c r="BU16" s="24">
        <v>1.5</v>
      </c>
      <c r="BV16" s="24">
        <v>1</v>
      </c>
      <c r="BW16" s="24">
        <f t="shared" si="2"/>
        <v>0.26879999999999998</v>
      </c>
      <c r="BY16" s="24">
        <v>50</v>
      </c>
      <c r="BZ16" s="24"/>
      <c r="CA16" s="24"/>
      <c r="CB16" s="24">
        <v>4.5999999999999996</v>
      </c>
      <c r="CC16" s="24">
        <f t="shared" si="3"/>
        <v>40.799999999999997</v>
      </c>
      <c r="CD16" s="109">
        <v>6.8</v>
      </c>
      <c r="CE16" s="24">
        <f t="shared" si="4"/>
        <v>36.4</v>
      </c>
    </row>
    <row r="17" spans="2:83" ht="18" customHeight="1" x14ac:dyDescent="0.3">
      <c r="B17" s="15"/>
      <c r="C17" s="12"/>
      <c r="D17" s="25" t="s">
        <v>45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W17" s="13"/>
      <c r="X17" s="13"/>
      <c r="Y17" s="14"/>
      <c r="Z17" s="12"/>
      <c r="AA17" s="43" t="s">
        <v>89</v>
      </c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4"/>
      <c r="AV17" s="16"/>
      <c r="AW17" s="1"/>
      <c r="AX17" s="1"/>
      <c r="AZ17" s="17"/>
      <c r="BC17" s="1">
        <v>8</v>
      </c>
      <c r="BD17" s="19">
        <v>90</v>
      </c>
      <c r="BE17" s="33"/>
      <c r="BH17" s="90"/>
      <c r="BI17" s="91" t="s">
        <v>156</v>
      </c>
      <c r="BJ17" s="30">
        <f t="shared" si="1"/>
        <v>0</v>
      </c>
      <c r="BK17" s="31">
        <f>IF($BD$9&lt;=400,1,0)</f>
        <v>1</v>
      </c>
      <c r="BL17" s="31">
        <f t="shared" si="0"/>
        <v>0</v>
      </c>
      <c r="BM17" s="115" t="s">
        <v>35</v>
      </c>
      <c r="BN17" s="116"/>
      <c r="BO17" s="31" t="s">
        <v>5</v>
      </c>
      <c r="BP17" s="31">
        <v>1</v>
      </c>
      <c r="BQ17" s="31"/>
      <c r="BR17" s="31">
        <v>3</v>
      </c>
      <c r="BS17" s="31"/>
      <c r="BT17" s="24">
        <v>170000</v>
      </c>
      <c r="BU17" s="24">
        <v>1.5</v>
      </c>
      <c r="BV17" s="24">
        <v>1.5</v>
      </c>
      <c r="BW17" s="24">
        <v>0.1</v>
      </c>
      <c r="BY17" s="24">
        <v>63</v>
      </c>
      <c r="BZ17" s="24"/>
      <c r="CA17" s="24"/>
      <c r="CB17" s="24">
        <v>5.8</v>
      </c>
      <c r="CC17" s="24">
        <f t="shared" si="3"/>
        <v>51.4</v>
      </c>
      <c r="CD17" s="109">
        <v>8.5</v>
      </c>
      <c r="CE17" s="24">
        <f t="shared" si="4"/>
        <v>46</v>
      </c>
    </row>
    <row r="18" spans="2:83" ht="18" customHeight="1" x14ac:dyDescent="0.3">
      <c r="B18" s="15"/>
      <c r="C18" s="15"/>
      <c r="D18" s="44" t="s">
        <v>46</v>
      </c>
      <c r="Y18" s="16"/>
      <c r="AA18" s="45" t="s">
        <v>85</v>
      </c>
      <c r="AB18" s="11"/>
      <c r="AC18" s="45" t="s">
        <v>86</v>
      </c>
      <c r="AM18" s="198">
        <f>IF(ISERROR(0.1*AM25*PI()*(AM20^2)*AM24/4*AM19*((1/AM21)+(AM20/(AM22*AM23)))),"",0.1*AM25*PI()*(AM20^2)*AM24/4*AM19*((1/AM21)+(AM20/(AM22*AM23))))</f>
        <v>11.249223410584939</v>
      </c>
      <c r="AN18" s="198"/>
      <c r="AO18" s="198"/>
      <c r="AS18" s="45" t="s">
        <v>13</v>
      </c>
      <c r="AU18" s="16"/>
      <c r="AV18" s="16"/>
      <c r="AW18" s="1"/>
      <c r="AX18" s="1"/>
      <c r="AZ18" s="17"/>
      <c r="BC18" s="1">
        <v>9</v>
      </c>
      <c r="BD18" s="19">
        <v>100</v>
      </c>
      <c r="BE18" s="33"/>
      <c r="BF18" s="26"/>
      <c r="BG18" s="27" t="s">
        <v>33</v>
      </c>
      <c r="BH18" s="90"/>
      <c r="BI18" s="91" t="s">
        <v>157</v>
      </c>
      <c r="BJ18" s="30">
        <f t="shared" si="1"/>
        <v>0</v>
      </c>
      <c r="BK18" s="24">
        <f>IF(AND($BD$9&lt;=700,$BD$9&gt;400),1,0)</f>
        <v>0</v>
      </c>
      <c r="BL18" s="31">
        <f t="shared" si="0"/>
        <v>0</v>
      </c>
      <c r="BM18" s="115" t="s">
        <v>35</v>
      </c>
      <c r="BN18" s="116"/>
      <c r="BO18" s="24" t="s">
        <v>129</v>
      </c>
      <c r="BP18" s="31">
        <v>1</v>
      </c>
      <c r="BQ18" s="31"/>
      <c r="BR18" s="31">
        <v>12</v>
      </c>
      <c r="BS18" s="31"/>
      <c r="BT18" s="24">
        <v>170000</v>
      </c>
      <c r="BU18" s="24">
        <v>1.5</v>
      </c>
      <c r="BV18" s="24">
        <v>1</v>
      </c>
      <c r="BW18" s="24">
        <v>0.1</v>
      </c>
      <c r="BY18" s="24">
        <v>75</v>
      </c>
      <c r="BZ18" s="24"/>
      <c r="CA18" s="24"/>
      <c r="CB18" s="24">
        <v>6.8</v>
      </c>
      <c r="CC18" s="24">
        <f t="shared" si="3"/>
        <v>61.4</v>
      </c>
      <c r="CD18" s="109">
        <v>10.1</v>
      </c>
      <c r="CE18" s="24">
        <f t="shared" si="4"/>
        <v>54.8</v>
      </c>
    </row>
    <row r="19" spans="2:83" ht="18" customHeight="1" x14ac:dyDescent="0.3">
      <c r="B19" s="15"/>
      <c r="C19" s="15"/>
      <c r="D19" s="1" t="s">
        <v>47</v>
      </c>
      <c r="H19" s="47"/>
      <c r="I19" s="47" t="s">
        <v>14</v>
      </c>
      <c r="Y19" s="16"/>
      <c r="AA19" s="45" t="s">
        <v>87</v>
      </c>
      <c r="AB19" s="19"/>
      <c r="AC19" s="1" t="s">
        <v>88</v>
      </c>
      <c r="AM19" s="167">
        <f>IF(T34="","",AM43-AM44)</f>
        <v>2</v>
      </c>
      <c r="AN19" s="167"/>
      <c r="AO19" s="89"/>
      <c r="AS19" s="45" t="s">
        <v>15</v>
      </c>
      <c r="AU19" s="16"/>
      <c r="AV19" s="16"/>
      <c r="AW19" s="1"/>
      <c r="AX19" s="1"/>
      <c r="AZ19" s="17"/>
      <c r="BC19" s="1">
        <v>10</v>
      </c>
      <c r="BD19" s="19">
        <v>110</v>
      </c>
      <c r="BE19" s="33"/>
      <c r="BF19" s="34">
        <v>2</v>
      </c>
      <c r="BG19" s="35"/>
      <c r="BH19" s="90"/>
      <c r="BI19" s="91" t="s">
        <v>153</v>
      </c>
      <c r="BJ19" s="30">
        <f t="shared" si="1"/>
        <v>0</v>
      </c>
      <c r="BK19" s="24">
        <f>IF($BD$9&gt;700,1,0)</f>
        <v>0</v>
      </c>
      <c r="BL19" s="31">
        <f t="shared" si="0"/>
        <v>0</v>
      </c>
      <c r="BM19" s="115" t="s">
        <v>35</v>
      </c>
      <c r="BN19" s="116"/>
      <c r="BO19" s="24" t="s">
        <v>10</v>
      </c>
      <c r="BP19" s="31">
        <v>1</v>
      </c>
      <c r="BQ19" s="31"/>
      <c r="BR19" s="31">
        <v>24</v>
      </c>
      <c r="BS19" s="31"/>
      <c r="BT19" s="24">
        <v>170000</v>
      </c>
      <c r="BU19" s="24">
        <v>1.5</v>
      </c>
      <c r="BV19" s="24">
        <v>1</v>
      </c>
      <c r="BW19" s="24">
        <v>0.1</v>
      </c>
      <c r="BY19" s="24">
        <v>90</v>
      </c>
      <c r="BZ19" s="24">
        <v>5.4</v>
      </c>
      <c r="CA19" s="24">
        <f t="shared" ref="CA19:CA29" si="5">BY19-BZ19*2</f>
        <v>79.2</v>
      </c>
      <c r="CB19" s="24">
        <v>8.1999999999999993</v>
      </c>
      <c r="CC19" s="24">
        <f t="shared" si="3"/>
        <v>73.599999999999994</v>
      </c>
      <c r="CD19" s="109">
        <v>12.2</v>
      </c>
      <c r="CE19" s="24">
        <f t="shared" si="4"/>
        <v>65.599999999999994</v>
      </c>
    </row>
    <row r="20" spans="2:83" ht="18" customHeight="1" x14ac:dyDescent="0.3">
      <c r="B20" s="15"/>
      <c r="C20" s="15"/>
      <c r="D20" s="1" t="s">
        <v>48</v>
      </c>
      <c r="J20" s="180"/>
      <c r="K20" s="181"/>
      <c r="L20" s="181"/>
      <c r="M20" s="181"/>
      <c r="N20" s="181"/>
      <c r="O20" s="181"/>
      <c r="P20" s="181"/>
      <c r="Q20" s="181"/>
      <c r="R20" s="182"/>
      <c r="W20" s="48"/>
      <c r="X20" s="48"/>
      <c r="Y20" s="16"/>
      <c r="AA20" s="19" t="s">
        <v>16</v>
      </c>
      <c r="AB20" s="19"/>
      <c r="AC20" s="1" t="s">
        <v>57</v>
      </c>
      <c r="AM20" s="177">
        <f>IF(AP20="",IF(BH9&lt;=7,BD9,IF(BH9=10,VLOOKUP(BD9,BY13:CE39,5,FALSE),IF(BH9=11,VLOOKUP(BD9,BY13:CE39,3,FALSE),IF(BH9=12,VLOOKUP(BD9,BY13:CE39,7,FALSE),)))),AP20)</f>
        <v>116.8</v>
      </c>
      <c r="AN20" s="177"/>
      <c r="AO20" s="89"/>
      <c r="AP20" s="149"/>
      <c r="AQ20" s="149"/>
      <c r="AR20" s="149"/>
      <c r="AS20" s="45" t="s">
        <v>17</v>
      </c>
      <c r="AU20" s="16"/>
      <c r="AV20" s="16"/>
      <c r="AW20" s="1"/>
      <c r="AX20" s="1"/>
      <c r="AZ20" s="17"/>
      <c r="BC20" s="1">
        <v>11</v>
      </c>
      <c r="BD20" s="19">
        <v>125</v>
      </c>
      <c r="BE20" s="33"/>
      <c r="BF20" s="28"/>
      <c r="BG20" s="35" t="s">
        <v>9</v>
      </c>
      <c r="BH20" s="90"/>
      <c r="BI20" s="91" t="s">
        <v>154</v>
      </c>
      <c r="BJ20" s="30">
        <f t="shared" si="1"/>
        <v>0</v>
      </c>
      <c r="BK20" s="31">
        <f>IF($BD$9&lt;=400,1,0)</f>
        <v>1</v>
      </c>
      <c r="BL20" s="31">
        <f t="shared" si="0"/>
        <v>0</v>
      </c>
      <c r="BM20" s="115" t="s">
        <v>135</v>
      </c>
      <c r="BN20" s="116"/>
      <c r="BO20" s="31" t="s">
        <v>5</v>
      </c>
      <c r="BP20" s="31">
        <v>1</v>
      </c>
      <c r="BQ20" s="31"/>
      <c r="BR20" s="31">
        <v>3</v>
      </c>
      <c r="BS20" s="31"/>
      <c r="BT20" s="24">
        <v>210000</v>
      </c>
      <c r="BU20" s="24">
        <v>1.5</v>
      </c>
      <c r="BV20" s="24">
        <v>1.5</v>
      </c>
      <c r="BW20" s="24">
        <v>0.1</v>
      </c>
      <c r="BY20" s="24">
        <v>110</v>
      </c>
      <c r="BZ20" s="24">
        <v>6.6</v>
      </c>
      <c r="CA20" s="24">
        <f t="shared" si="5"/>
        <v>96.8</v>
      </c>
      <c r="CB20" s="24">
        <v>10</v>
      </c>
      <c r="CC20" s="24">
        <f t="shared" si="3"/>
        <v>90</v>
      </c>
      <c r="CD20" s="109">
        <v>14.9</v>
      </c>
      <c r="CE20" s="24">
        <f t="shared" si="4"/>
        <v>80.2</v>
      </c>
    </row>
    <row r="21" spans="2:83" ht="18" customHeight="1" x14ac:dyDescent="0.4">
      <c r="B21" s="15"/>
      <c r="C21" s="15"/>
      <c r="D21" s="1" t="s">
        <v>49</v>
      </c>
      <c r="I21" s="47"/>
      <c r="J21" s="19"/>
      <c r="K21" s="19"/>
      <c r="L21" s="47" t="s">
        <v>14</v>
      </c>
      <c r="Q21" s="1" t="s">
        <v>17</v>
      </c>
      <c r="Y21" s="16"/>
      <c r="AA21" s="19" t="s">
        <v>52</v>
      </c>
      <c r="AB21" s="19"/>
      <c r="AC21" s="1" t="s">
        <v>56</v>
      </c>
      <c r="AM21" s="177">
        <v>2027</v>
      </c>
      <c r="AN21" s="177"/>
      <c r="AO21" s="89"/>
      <c r="AS21" s="45" t="s">
        <v>18</v>
      </c>
      <c r="AU21" s="16"/>
      <c r="AV21" s="16"/>
      <c r="AW21" s="1"/>
      <c r="AX21" s="1"/>
      <c r="AZ21" s="17"/>
      <c r="BC21" s="1">
        <v>12</v>
      </c>
      <c r="BD21" s="19">
        <v>140</v>
      </c>
      <c r="BE21" s="33"/>
      <c r="BF21" s="28"/>
      <c r="BG21" s="35" t="s">
        <v>19</v>
      </c>
      <c r="BH21" s="92"/>
      <c r="BI21" s="93" t="s">
        <v>155</v>
      </c>
      <c r="BJ21" s="30">
        <f t="shared" si="1"/>
        <v>0</v>
      </c>
      <c r="BK21" s="24">
        <f>IF(AND($BD$9&lt;=700,$BD$9&gt;400),1,0)</f>
        <v>0</v>
      </c>
      <c r="BL21" s="31">
        <f t="shared" si="0"/>
        <v>0</v>
      </c>
      <c r="BM21" s="115" t="s">
        <v>135</v>
      </c>
      <c r="BN21" s="116"/>
      <c r="BO21" s="24" t="s">
        <v>129</v>
      </c>
      <c r="BP21" s="31">
        <v>1</v>
      </c>
      <c r="BQ21" s="31"/>
      <c r="BR21" s="31">
        <v>12</v>
      </c>
      <c r="BS21" s="31"/>
      <c r="BT21" s="24">
        <v>210000</v>
      </c>
      <c r="BU21" s="24">
        <v>1.5</v>
      </c>
      <c r="BV21" s="24">
        <v>1</v>
      </c>
      <c r="BW21" s="24">
        <v>0.1</v>
      </c>
      <c r="BY21" s="24">
        <v>125</v>
      </c>
      <c r="BZ21" s="24">
        <v>7.4</v>
      </c>
      <c r="CA21" s="24">
        <f t="shared" si="5"/>
        <v>110.2</v>
      </c>
      <c r="CB21" s="24">
        <v>11.4</v>
      </c>
      <c r="CC21" s="24">
        <f t="shared" si="3"/>
        <v>102.2</v>
      </c>
      <c r="CD21" s="109">
        <v>16.899999999999999</v>
      </c>
      <c r="CE21" s="24">
        <f t="shared" si="4"/>
        <v>91.2</v>
      </c>
    </row>
    <row r="22" spans="2:83" ht="18" customHeight="1" x14ac:dyDescent="0.4">
      <c r="B22" s="15"/>
      <c r="C22" s="15"/>
      <c r="D22" s="1" t="s">
        <v>132</v>
      </c>
      <c r="L22" s="47" t="s">
        <v>14</v>
      </c>
      <c r="M22" s="149">
        <v>1</v>
      </c>
      <c r="N22" s="149"/>
      <c r="O22" s="1" t="s">
        <v>50</v>
      </c>
      <c r="Y22" s="16"/>
      <c r="AA22" s="19" t="s">
        <v>51</v>
      </c>
      <c r="AB22" s="19"/>
      <c r="AC22" s="1" t="s">
        <v>55</v>
      </c>
      <c r="AM22" s="177">
        <f>IF(AP22="",IF(SUM(BJ11:BJ41)=0,"",VLOOKUP(1,BL11:BW41,9,FALSE)),AP22)</f>
        <v>1200</v>
      </c>
      <c r="AN22" s="177"/>
      <c r="AO22" s="177"/>
      <c r="AP22" s="149"/>
      <c r="AQ22" s="149"/>
      <c r="AR22" s="149"/>
      <c r="AS22" s="45" t="s">
        <v>18</v>
      </c>
      <c r="AU22" s="16"/>
      <c r="AV22" s="16"/>
      <c r="AW22" s="1"/>
      <c r="AX22" s="1"/>
      <c r="AZ22" s="17"/>
      <c r="BC22" s="1">
        <v>13</v>
      </c>
      <c r="BD22" s="19">
        <v>150</v>
      </c>
      <c r="BE22" s="33"/>
      <c r="BF22" s="28"/>
      <c r="BG22" s="35" t="s">
        <v>36</v>
      </c>
      <c r="BJ22" s="24">
        <f t="shared" si="1"/>
        <v>0</v>
      </c>
      <c r="BK22" s="50">
        <f>IF($BD$9&gt;700,1,0)</f>
        <v>0</v>
      </c>
      <c r="BL22" s="51">
        <f t="shared" si="0"/>
        <v>0</v>
      </c>
      <c r="BM22" s="115" t="s">
        <v>135</v>
      </c>
      <c r="BN22" s="116"/>
      <c r="BO22" s="50" t="s">
        <v>10</v>
      </c>
      <c r="BP22" s="51">
        <v>1</v>
      </c>
      <c r="BQ22" s="51"/>
      <c r="BR22" s="51">
        <v>24</v>
      </c>
      <c r="BS22" s="51"/>
      <c r="BT22" s="24">
        <v>210000</v>
      </c>
      <c r="BU22" s="50">
        <v>1.5</v>
      </c>
      <c r="BV22" s="24">
        <v>1</v>
      </c>
      <c r="BW22" s="24">
        <v>0.1</v>
      </c>
      <c r="BY22" s="24">
        <v>140</v>
      </c>
      <c r="BZ22" s="24">
        <v>8.3000000000000007</v>
      </c>
      <c r="CA22" s="24">
        <f t="shared" si="5"/>
        <v>123.4</v>
      </c>
      <c r="CB22" s="24">
        <v>12.7</v>
      </c>
      <c r="CC22" s="24">
        <f t="shared" si="3"/>
        <v>114.6</v>
      </c>
      <c r="CD22" s="109">
        <v>18.899999999999999</v>
      </c>
      <c r="CE22" s="24">
        <f t="shared" si="4"/>
        <v>102.2</v>
      </c>
    </row>
    <row r="23" spans="2:83" ht="18" customHeight="1" x14ac:dyDescent="0.3">
      <c r="B23" s="15"/>
      <c r="C23" s="15"/>
      <c r="D23" s="46" t="s">
        <v>58</v>
      </c>
      <c r="Y23" s="16"/>
      <c r="AA23" s="45" t="s">
        <v>54</v>
      </c>
      <c r="AB23" s="19"/>
      <c r="AC23" s="1" t="s">
        <v>53</v>
      </c>
      <c r="AM23" s="167">
        <f>IF(AP23="",IF(BD9=0,"",IF(OR(BH9=2,BH9=3),MAX(9*(0.5+0.001*BD9),6),IF(BH9=10,VLOOKUP(BD9,BY13:CE39,4,FALSE),IF(BH9=11,VLOOKUP(BD9,BY13:CE39,2,FALSE),IF(BH9=12,VLOOKUP(BD9,BY13:CE39,6,FALSE)))))),AP23)</f>
        <v>21.6</v>
      </c>
      <c r="AN23" s="167"/>
      <c r="AO23" s="167"/>
      <c r="AP23" s="149"/>
      <c r="AQ23" s="149"/>
      <c r="AR23" s="149"/>
      <c r="AS23" s="45" t="s">
        <v>17</v>
      </c>
      <c r="AU23" s="16"/>
      <c r="AV23" s="16"/>
      <c r="AW23" s="1"/>
      <c r="AX23" s="1"/>
      <c r="AZ23" s="17"/>
      <c r="BC23" s="1">
        <v>14</v>
      </c>
      <c r="BD23" s="19">
        <v>160</v>
      </c>
      <c r="BE23" s="33"/>
      <c r="BF23" s="40"/>
      <c r="BG23" s="49" t="s">
        <v>38</v>
      </c>
      <c r="BJ23" s="24">
        <f t="shared" si="1"/>
        <v>0</v>
      </c>
      <c r="BK23" s="31">
        <f>IF($BD$9&lt;=400,1,0)</f>
        <v>1</v>
      </c>
      <c r="BL23" s="31">
        <f t="shared" si="0"/>
        <v>0</v>
      </c>
      <c r="BM23" s="117" t="s">
        <v>71</v>
      </c>
      <c r="BN23" s="118"/>
      <c r="BO23" s="31" t="s">
        <v>5</v>
      </c>
      <c r="BP23" s="24">
        <v>24</v>
      </c>
      <c r="BQ23" s="24"/>
      <c r="BR23" s="31">
        <v>3</v>
      </c>
      <c r="BS23" s="31"/>
      <c r="BT23" s="113">
        <v>210000</v>
      </c>
      <c r="BU23" s="24">
        <v>1.5</v>
      </c>
      <c r="BV23" s="24">
        <v>1.5</v>
      </c>
      <c r="BW23" s="24">
        <f>0.0084*$N$42+0.0168</f>
        <v>0.26879999999999998</v>
      </c>
      <c r="BY23" s="24">
        <v>160</v>
      </c>
      <c r="BZ23" s="24">
        <v>9.5</v>
      </c>
      <c r="CA23" s="24">
        <f t="shared" si="5"/>
        <v>141</v>
      </c>
      <c r="CB23" s="24">
        <v>14.6</v>
      </c>
      <c r="CC23" s="24">
        <f t="shared" si="3"/>
        <v>130.80000000000001</v>
      </c>
      <c r="CD23" s="109">
        <v>21.6</v>
      </c>
      <c r="CE23" s="24">
        <f t="shared" si="4"/>
        <v>116.8</v>
      </c>
    </row>
    <row r="24" spans="2:83" ht="18" customHeight="1" x14ac:dyDescent="0.3">
      <c r="B24" s="15"/>
      <c r="C24" s="15"/>
      <c r="D24" s="168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70"/>
      <c r="Y24" s="16"/>
      <c r="AA24" s="45" t="s">
        <v>20</v>
      </c>
      <c r="AB24" s="19"/>
      <c r="AC24" s="1" t="s">
        <v>90</v>
      </c>
      <c r="AM24" s="177">
        <f>M22</f>
        <v>1</v>
      </c>
      <c r="AN24" s="177"/>
      <c r="AO24" s="177"/>
      <c r="AS24" s="45" t="s">
        <v>50</v>
      </c>
      <c r="AU24" s="16"/>
      <c r="AV24" s="16"/>
      <c r="AW24" s="1"/>
      <c r="AX24" s="1"/>
      <c r="AZ24" s="17"/>
      <c r="BC24" s="1">
        <v>15</v>
      </c>
      <c r="BD24" s="19">
        <v>180</v>
      </c>
      <c r="BE24" s="33"/>
      <c r="BJ24" s="24">
        <f t="shared" si="1"/>
        <v>0</v>
      </c>
      <c r="BK24" s="24">
        <f>IF(AND($BD$9&lt;=700,$BD$9&gt;400),1,0)</f>
        <v>0</v>
      </c>
      <c r="BL24" s="31">
        <f t="shared" si="0"/>
        <v>0</v>
      </c>
      <c r="BM24" s="117" t="s">
        <v>71</v>
      </c>
      <c r="BN24" s="118"/>
      <c r="BO24" s="24" t="s">
        <v>129</v>
      </c>
      <c r="BP24" s="24">
        <v>24</v>
      </c>
      <c r="BQ24" s="24"/>
      <c r="BR24" s="31">
        <v>12</v>
      </c>
      <c r="BS24" s="31"/>
      <c r="BT24" s="113">
        <v>210000</v>
      </c>
      <c r="BU24" s="24">
        <v>1.5</v>
      </c>
      <c r="BV24" s="24">
        <v>1</v>
      </c>
      <c r="BW24" s="24">
        <f>0.0084*$N$42+0.0168</f>
        <v>0.26879999999999998</v>
      </c>
      <c r="BY24" s="24">
        <v>180</v>
      </c>
      <c r="BZ24" s="24">
        <v>10.7</v>
      </c>
      <c r="CA24" s="24">
        <f t="shared" si="5"/>
        <v>158.6</v>
      </c>
      <c r="CB24" s="24">
        <v>16.399999999999999</v>
      </c>
      <c r="CC24" s="24">
        <f t="shared" si="3"/>
        <v>147.19999999999999</v>
      </c>
      <c r="CD24" s="109">
        <v>24.3</v>
      </c>
      <c r="CE24" s="24">
        <f t="shared" si="4"/>
        <v>131.4</v>
      </c>
    </row>
    <row r="25" spans="2:83" ht="18" customHeight="1" x14ac:dyDescent="0.3">
      <c r="B25" s="15"/>
      <c r="C25" s="15"/>
      <c r="D25" s="171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3"/>
      <c r="Y25" s="16"/>
      <c r="AA25" s="178" t="s">
        <v>0</v>
      </c>
      <c r="AB25" s="178"/>
      <c r="AC25" s="1" t="s">
        <v>137</v>
      </c>
      <c r="AM25" s="178">
        <f>IF(SUM(BL11:BL41)=0,"",VLOOKUP(1,BL11:BU41,10,FALSE))</f>
        <v>1.05</v>
      </c>
      <c r="AN25" s="178"/>
      <c r="AO25" s="45"/>
      <c r="AS25" s="45" t="s">
        <v>21</v>
      </c>
      <c r="AU25" s="16"/>
      <c r="AV25" s="16"/>
      <c r="AW25" s="1"/>
      <c r="AX25" s="1"/>
      <c r="AZ25" s="17"/>
      <c r="BC25" s="1">
        <v>16</v>
      </c>
      <c r="BD25" s="19">
        <v>200</v>
      </c>
      <c r="BE25" s="33"/>
      <c r="BF25" s="35"/>
      <c r="BG25" s="35" t="s">
        <v>121</v>
      </c>
      <c r="BJ25" s="24">
        <f t="shared" si="1"/>
        <v>0</v>
      </c>
      <c r="BK25" s="24">
        <f>IF($BD$9&gt;700,1,0)</f>
        <v>0</v>
      </c>
      <c r="BL25" s="31">
        <f t="shared" si="0"/>
        <v>0</v>
      </c>
      <c r="BM25" s="117" t="s">
        <v>71</v>
      </c>
      <c r="BN25" s="118"/>
      <c r="BO25" s="24" t="s">
        <v>10</v>
      </c>
      <c r="BP25" s="24">
        <v>24</v>
      </c>
      <c r="BQ25" s="24"/>
      <c r="BR25" s="31">
        <v>24</v>
      </c>
      <c r="BS25" s="31"/>
      <c r="BT25" s="113">
        <v>210000</v>
      </c>
      <c r="BU25" s="24">
        <v>1.5</v>
      </c>
      <c r="BV25" s="24">
        <v>1</v>
      </c>
      <c r="BW25" s="24">
        <f>0.0084*$N$42+0.0168</f>
        <v>0.26879999999999998</v>
      </c>
      <c r="BY25" s="24">
        <v>200</v>
      </c>
      <c r="BZ25" s="24">
        <v>11.9</v>
      </c>
      <c r="CA25" s="24">
        <f t="shared" si="5"/>
        <v>176.2</v>
      </c>
      <c r="CB25" s="24">
        <v>18.2</v>
      </c>
      <c r="CC25" s="24">
        <f t="shared" si="3"/>
        <v>163.6</v>
      </c>
      <c r="CD25" s="109">
        <v>27</v>
      </c>
      <c r="CE25" s="24">
        <f t="shared" si="4"/>
        <v>146</v>
      </c>
    </row>
    <row r="26" spans="2:83" ht="18" customHeight="1" x14ac:dyDescent="0.3">
      <c r="B26" s="15"/>
      <c r="C26" s="15"/>
      <c r="D26" s="171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3"/>
      <c r="Y26" s="16"/>
      <c r="AU26" s="16"/>
      <c r="AV26" s="16"/>
      <c r="AW26" s="1"/>
      <c r="AX26" s="1"/>
      <c r="AZ26" s="17"/>
      <c r="BC26" s="1">
        <v>17</v>
      </c>
      <c r="BD26" s="19">
        <v>225</v>
      </c>
      <c r="BE26" s="33"/>
      <c r="BF26" s="52">
        <v>1</v>
      </c>
      <c r="BG26" s="35"/>
      <c r="BJ26" s="53">
        <f t="shared" si="1"/>
        <v>0</v>
      </c>
      <c r="BK26" s="54">
        <f>IF($BD$9&lt;150,1,0)</f>
        <v>0</v>
      </c>
      <c r="BL26" s="54">
        <f t="shared" si="0"/>
        <v>0</v>
      </c>
      <c r="BM26" s="111" t="s">
        <v>156</v>
      </c>
      <c r="BN26" s="122">
        <v>12.5</v>
      </c>
      <c r="BO26" s="114" t="s">
        <v>146</v>
      </c>
      <c r="BP26" s="124">
        <v>17.5</v>
      </c>
      <c r="BQ26" s="125">
        <v>12</v>
      </c>
      <c r="BR26" s="124">
        <f>BP26-2</f>
        <v>15.5</v>
      </c>
      <c r="BS26" s="125">
        <v>3</v>
      </c>
      <c r="BT26" s="53">
        <v>800</v>
      </c>
      <c r="BU26" s="53">
        <v>1.05</v>
      </c>
      <c r="BV26" s="24">
        <v>2</v>
      </c>
      <c r="BW26" s="120">
        <v>0.3</v>
      </c>
      <c r="BY26" s="24">
        <v>225</v>
      </c>
      <c r="BZ26" s="24">
        <v>13.4</v>
      </c>
      <c r="CA26" s="24">
        <f t="shared" si="5"/>
        <v>198.2</v>
      </c>
      <c r="CB26" s="24">
        <v>20.5</v>
      </c>
      <c r="CC26" s="24">
        <f t="shared" si="3"/>
        <v>184</v>
      </c>
      <c r="CD26" s="109">
        <v>30.4</v>
      </c>
      <c r="CE26" s="24">
        <f t="shared" si="4"/>
        <v>164.2</v>
      </c>
    </row>
    <row r="27" spans="2:83" ht="18" customHeight="1" x14ac:dyDescent="0.3">
      <c r="B27" s="15"/>
      <c r="C27" s="15"/>
      <c r="D27" s="174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6"/>
      <c r="Y27" s="16"/>
      <c r="AU27" s="16"/>
      <c r="AV27" s="16"/>
      <c r="AW27" s="1"/>
      <c r="AX27" s="1"/>
      <c r="AZ27" s="17"/>
      <c r="BC27" s="1">
        <v>18</v>
      </c>
      <c r="BD27" s="19">
        <v>250</v>
      </c>
      <c r="BF27" s="35"/>
      <c r="BG27" s="35" t="s">
        <v>138</v>
      </c>
      <c r="BJ27" s="24">
        <f t="shared" si="1"/>
        <v>0</v>
      </c>
      <c r="BK27" s="24">
        <f>IF(AND($BD$9&lt;=400,$BD$9&gt;=150),1,0)</f>
        <v>1</v>
      </c>
      <c r="BL27" s="31">
        <f t="shared" si="0"/>
        <v>0</v>
      </c>
      <c r="BM27" s="111" t="s">
        <v>156</v>
      </c>
      <c r="BN27" s="122">
        <v>12.5</v>
      </c>
      <c r="BO27" s="24" t="s">
        <v>147</v>
      </c>
      <c r="BP27" s="124">
        <v>17.5</v>
      </c>
      <c r="BQ27" s="125">
        <v>12</v>
      </c>
      <c r="BR27" s="124">
        <f t="shared" ref="BR27:BR40" si="6">BP27-2</f>
        <v>15.5</v>
      </c>
      <c r="BS27" s="125">
        <v>6</v>
      </c>
      <c r="BT27" s="53">
        <v>800</v>
      </c>
      <c r="BU27" s="24">
        <v>1.05</v>
      </c>
      <c r="BV27" s="24">
        <v>2</v>
      </c>
      <c r="BW27" s="120">
        <v>0.6</v>
      </c>
      <c r="BY27" s="24">
        <v>250</v>
      </c>
      <c r="BZ27" s="24">
        <v>14.8</v>
      </c>
      <c r="CA27" s="24">
        <f t="shared" si="5"/>
        <v>220.4</v>
      </c>
      <c r="CB27" s="24">
        <v>22.8</v>
      </c>
      <c r="CC27" s="24">
        <f t="shared" si="3"/>
        <v>204.4</v>
      </c>
      <c r="CD27" s="109">
        <v>33.799999999999997</v>
      </c>
      <c r="CE27" s="24">
        <f t="shared" si="4"/>
        <v>182.4</v>
      </c>
    </row>
    <row r="28" spans="2:83" ht="18" customHeight="1" x14ac:dyDescent="0.3">
      <c r="B28" s="15"/>
      <c r="C28" s="37"/>
      <c r="Y28" s="39"/>
      <c r="AB28" s="3"/>
      <c r="AU28" s="39"/>
      <c r="AV28" s="16"/>
      <c r="AW28" s="1"/>
      <c r="AX28" s="1"/>
      <c r="AZ28" s="17"/>
      <c r="BC28" s="1">
        <v>19</v>
      </c>
      <c r="BD28" s="19">
        <v>280</v>
      </c>
      <c r="BF28" s="35"/>
      <c r="BG28" s="35" t="s">
        <v>139</v>
      </c>
      <c r="BJ28" s="24">
        <f t="shared" si="1"/>
        <v>0</v>
      </c>
      <c r="BK28" s="24">
        <f>IF($BD$9&gt;400,1,0)</f>
        <v>0</v>
      </c>
      <c r="BL28" s="31">
        <f t="shared" si="0"/>
        <v>0</v>
      </c>
      <c r="BM28" s="111" t="s">
        <v>156</v>
      </c>
      <c r="BN28" s="122">
        <v>12.5</v>
      </c>
      <c r="BO28" s="24" t="s">
        <v>22</v>
      </c>
      <c r="BP28" s="124">
        <v>17.5</v>
      </c>
      <c r="BQ28" s="125">
        <v>12</v>
      </c>
      <c r="BR28" s="124">
        <f t="shared" si="6"/>
        <v>15.5</v>
      </c>
      <c r="BS28" s="125">
        <v>12</v>
      </c>
      <c r="BT28" s="53">
        <v>800</v>
      </c>
      <c r="BU28" s="24">
        <v>1.05</v>
      </c>
      <c r="BV28" s="24">
        <v>2</v>
      </c>
      <c r="BW28" s="120">
        <v>1.2</v>
      </c>
      <c r="BY28" s="24">
        <v>280</v>
      </c>
      <c r="BZ28" s="24">
        <v>16.600000000000001</v>
      </c>
      <c r="CA28" s="24">
        <f t="shared" si="5"/>
        <v>246.8</v>
      </c>
      <c r="CB28" s="24">
        <v>25.4</v>
      </c>
      <c r="CC28" s="24">
        <f t="shared" si="3"/>
        <v>229.2</v>
      </c>
      <c r="CD28" s="109">
        <v>37.799999999999997</v>
      </c>
      <c r="CE28" s="24">
        <f t="shared" si="4"/>
        <v>204.4</v>
      </c>
    </row>
    <row r="29" spans="2:83" ht="18" customHeight="1" x14ac:dyDescent="0.3">
      <c r="B29" s="15"/>
      <c r="C29" s="55"/>
      <c r="D29" s="25" t="s">
        <v>91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4"/>
      <c r="AV29" s="16"/>
      <c r="AW29" s="1"/>
      <c r="AX29" s="1"/>
      <c r="AZ29" s="17"/>
      <c r="BC29" s="1">
        <v>20</v>
      </c>
      <c r="BD29" s="19">
        <v>300</v>
      </c>
      <c r="BF29" s="35"/>
      <c r="BG29" s="35" t="s">
        <v>140</v>
      </c>
      <c r="BJ29" s="24">
        <f t="shared" si="1"/>
        <v>0</v>
      </c>
      <c r="BK29" s="54">
        <f>IF($BD$9&lt;150,1,0)</f>
        <v>0</v>
      </c>
      <c r="BL29" s="31">
        <f t="shared" si="0"/>
        <v>0</v>
      </c>
      <c r="BM29" s="110" t="s">
        <v>157</v>
      </c>
      <c r="BN29" s="122">
        <v>8</v>
      </c>
      <c r="BO29" s="114" t="s">
        <v>146</v>
      </c>
      <c r="BP29" s="112">
        <v>12</v>
      </c>
      <c r="BQ29" s="125">
        <v>12</v>
      </c>
      <c r="BR29" s="125">
        <f t="shared" si="6"/>
        <v>10</v>
      </c>
      <c r="BS29" s="125">
        <v>3</v>
      </c>
      <c r="BT29" s="53">
        <v>800</v>
      </c>
      <c r="BU29" s="24">
        <v>1.05</v>
      </c>
      <c r="BV29" s="24">
        <v>2</v>
      </c>
      <c r="BW29" s="120">
        <v>0.3</v>
      </c>
      <c r="BY29" s="24">
        <v>315</v>
      </c>
      <c r="BZ29" s="24">
        <v>18.7</v>
      </c>
      <c r="CA29" s="24">
        <f t="shared" si="5"/>
        <v>277.60000000000002</v>
      </c>
      <c r="CB29" s="24">
        <v>28.7</v>
      </c>
      <c r="CC29" s="24">
        <f t="shared" si="3"/>
        <v>257.60000000000002</v>
      </c>
      <c r="CD29" s="109">
        <v>42.6</v>
      </c>
      <c r="CE29" s="24">
        <f t="shared" si="4"/>
        <v>229.8</v>
      </c>
    </row>
    <row r="30" spans="2:83" ht="18" customHeight="1" x14ac:dyDescent="0.3">
      <c r="B30" s="15"/>
      <c r="C30" s="56"/>
      <c r="D30" s="57" t="s">
        <v>64</v>
      </c>
      <c r="W30" s="57" t="s">
        <v>65</v>
      </c>
      <c r="AE30" s="58"/>
      <c r="AU30" s="16"/>
      <c r="AV30" s="16"/>
      <c r="AW30" s="1"/>
      <c r="AX30" s="1"/>
      <c r="AZ30" s="17"/>
      <c r="BC30" s="1">
        <v>21</v>
      </c>
      <c r="BD30" s="19">
        <v>315</v>
      </c>
      <c r="BF30" s="35"/>
      <c r="BG30" s="35" t="s">
        <v>72</v>
      </c>
      <c r="BJ30" s="24">
        <f t="shared" si="1"/>
        <v>0</v>
      </c>
      <c r="BK30" s="24">
        <f>IF(AND($BD$9&lt;=400,$BD$9&gt;=150),1,0)</f>
        <v>1</v>
      </c>
      <c r="BL30" s="31">
        <f t="shared" si="0"/>
        <v>0</v>
      </c>
      <c r="BM30" s="110" t="s">
        <v>157</v>
      </c>
      <c r="BN30" s="123">
        <v>8</v>
      </c>
      <c r="BO30" s="24" t="s">
        <v>147</v>
      </c>
      <c r="BP30" s="112">
        <v>12</v>
      </c>
      <c r="BQ30" s="125">
        <v>12</v>
      </c>
      <c r="BR30" s="125">
        <f t="shared" si="6"/>
        <v>10</v>
      </c>
      <c r="BS30" s="125">
        <v>6</v>
      </c>
      <c r="BT30" s="53">
        <v>800</v>
      </c>
      <c r="BU30" s="24">
        <v>1.05</v>
      </c>
      <c r="BV30" s="24">
        <v>2</v>
      </c>
      <c r="BW30" s="120">
        <v>0.6</v>
      </c>
      <c r="BY30" s="108">
        <v>355</v>
      </c>
      <c r="BZ30" s="108">
        <v>21.1</v>
      </c>
      <c r="CA30" s="108">
        <v>312.8</v>
      </c>
      <c r="CB30" s="108">
        <v>32.200000000000003</v>
      </c>
      <c r="CC30" s="108">
        <v>290.60000000000002</v>
      </c>
      <c r="CD30" s="109">
        <v>48</v>
      </c>
      <c r="CE30" s="24">
        <f t="shared" si="4"/>
        <v>259</v>
      </c>
    </row>
    <row r="31" spans="2:83" ht="18" customHeight="1" x14ac:dyDescent="0.3">
      <c r="B31" s="15"/>
      <c r="C31" s="56"/>
      <c r="D31" s="57" t="s">
        <v>92</v>
      </c>
      <c r="W31" s="57" t="s">
        <v>93</v>
      </c>
      <c r="AE31" s="58"/>
      <c r="AU31" s="16"/>
      <c r="AV31" s="16"/>
      <c r="AW31" s="1"/>
      <c r="AX31" s="1"/>
      <c r="AZ31" s="17"/>
      <c r="BC31" s="1">
        <v>22</v>
      </c>
      <c r="BD31" s="19">
        <v>355</v>
      </c>
      <c r="BF31" s="35"/>
      <c r="BG31" s="35" t="s">
        <v>79</v>
      </c>
      <c r="BJ31" s="24">
        <f t="shared" si="1"/>
        <v>0</v>
      </c>
      <c r="BK31" s="24">
        <f>IF($BD$9&gt;400,1,0)</f>
        <v>0</v>
      </c>
      <c r="BL31" s="31">
        <f t="shared" si="0"/>
        <v>0</v>
      </c>
      <c r="BM31" s="110" t="s">
        <v>157</v>
      </c>
      <c r="BN31" s="123">
        <v>8</v>
      </c>
      <c r="BO31" s="24" t="s">
        <v>22</v>
      </c>
      <c r="BP31" s="112">
        <v>12</v>
      </c>
      <c r="BQ31" s="125">
        <v>12</v>
      </c>
      <c r="BR31" s="125">
        <f t="shared" si="6"/>
        <v>10</v>
      </c>
      <c r="BS31" s="125">
        <v>12</v>
      </c>
      <c r="BT31" s="53">
        <v>800</v>
      </c>
      <c r="BU31" s="24">
        <v>1.05</v>
      </c>
      <c r="BV31" s="24">
        <v>2</v>
      </c>
      <c r="BW31" s="120">
        <v>1.2</v>
      </c>
      <c r="BY31" s="108">
        <v>400</v>
      </c>
      <c r="BZ31" s="108">
        <v>23.7</v>
      </c>
      <c r="CA31" s="108">
        <v>352.6</v>
      </c>
      <c r="CB31" s="108">
        <v>36.299999999999997</v>
      </c>
      <c r="CC31" s="108">
        <v>327.39999999999998</v>
      </c>
      <c r="CD31" s="109">
        <v>54.1</v>
      </c>
      <c r="CE31" s="24">
        <f t="shared" si="4"/>
        <v>291.8</v>
      </c>
    </row>
    <row r="32" spans="2:83" ht="18" customHeight="1" x14ac:dyDescent="0.3">
      <c r="B32" s="15"/>
      <c r="C32" s="56"/>
      <c r="D32" s="1" t="s">
        <v>66</v>
      </c>
      <c r="M32" s="149">
        <v>0</v>
      </c>
      <c r="N32" s="149"/>
      <c r="Q32" s="1" t="s">
        <v>94</v>
      </c>
      <c r="AU32" s="16"/>
      <c r="AV32" s="16"/>
      <c r="AW32" s="1"/>
      <c r="AX32" s="1"/>
      <c r="AZ32" s="17"/>
      <c r="BC32" s="1">
        <v>23</v>
      </c>
      <c r="BD32" s="19">
        <v>400</v>
      </c>
      <c r="BF32" s="35"/>
      <c r="BG32" s="35" t="s">
        <v>80</v>
      </c>
      <c r="BJ32" s="24">
        <f t="shared" ref="BJ32:BJ41" si="7">IF(BM32=BI$6,1,0)</f>
        <v>1</v>
      </c>
      <c r="BK32" s="54">
        <f>IF($BD$9&lt;150,1,0)</f>
        <v>0</v>
      </c>
      <c r="BL32" s="31">
        <f>IF(AND(BJ32=1,BK32=1),1,0)</f>
        <v>0</v>
      </c>
      <c r="BM32" s="121" t="s">
        <v>155</v>
      </c>
      <c r="BN32" s="122">
        <v>25</v>
      </c>
      <c r="BO32" s="114" t="s">
        <v>146</v>
      </c>
      <c r="BP32" s="112">
        <v>30</v>
      </c>
      <c r="BQ32" s="125">
        <v>12</v>
      </c>
      <c r="BR32" s="125">
        <f t="shared" si="6"/>
        <v>28</v>
      </c>
      <c r="BS32" s="125">
        <v>3</v>
      </c>
      <c r="BT32" s="24">
        <v>1200</v>
      </c>
      <c r="BU32" s="24">
        <v>1.05</v>
      </c>
      <c r="BV32" s="24">
        <v>2</v>
      </c>
      <c r="BW32" s="120">
        <v>0.3</v>
      </c>
      <c r="BY32" s="108">
        <v>450</v>
      </c>
      <c r="BZ32" s="108">
        <v>26.7</v>
      </c>
      <c r="CA32" s="108">
        <v>396.6</v>
      </c>
      <c r="CB32" s="108">
        <v>40.9</v>
      </c>
      <c r="CC32" s="108">
        <v>368.2</v>
      </c>
      <c r="CD32" s="109">
        <v>60.8</v>
      </c>
      <c r="CE32" s="24">
        <f t="shared" si="4"/>
        <v>328.4</v>
      </c>
    </row>
    <row r="33" spans="2:83" ht="18" customHeight="1" x14ac:dyDescent="0.3">
      <c r="B33" s="15"/>
      <c r="C33" s="56"/>
      <c r="D33" s="1" t="s">
        <v>95</v>
      </c>
      <c r="T33" s="149"/>
      <c r="U33" s="149"/>
      <c r="W33" s="1" t="s">
        <v>15</v>
      </c>
      <c r="AU33" s="16"/>
      <c r="AV33" s="16"/>
      <c r="AW33" s="1"/>
      <c r="AX33" s="1"/>
      <c r="AZ33" s="17"/>
      <c r="BC33" s="1">
        <v>24</v>
      </c>
      <c r="BD33" s="19">
        <v>500</v>
      </c>
      <c r="BE33" s="59"/>
      <c r="BF33" s="35"/>
      <c r="BG33" s="35" t="s">
        <v>73</v>
      </c>
      <c r="BJ33" s="24">
        <f t="shared" si="7"/>
        <v>1</v>
      </c>
      <c r="BK33" s="24">
        <f>IF(AND($BD$9&lt;=400,$BD$9&gt;=150),1,0)</f>
        <v>1</v>
      </c>
      <c r="BL33" s="31">
        <f t="shared" ref="BL33:BL34" si="8">IF(AND(BJ33=1,BK33=1),1,0)</f>
        <v>1</v>
      </c>
      <c r="BM33" s="121" t="s">
        <v>155</v>
      </c>
      <c r="BN33" s="123">
        <v>25</v>
      </c>
      <c r="BO33" s="24" t="s">
        <v>147</v>
      </c>
      <c r="BP33" s="112">
        <v>30</v>
      </c>
      <c r="BQ33" s="125">
        <v>12</v>
      </c>
      <c r="BR33" s="125">
        <f t="shared" si="6"/>
        <v>28</v>
      </c>
      <c r="BS33" s="125">
        <v>6</v>
      </c>
      <c r="BT33" s="24">
        <v>1200</v>
      </c>
      <c r="BU33" s="24">
        <v>1.05</v>
      </c>
      <c r="BV33" s="24">
        <v>2</v>
      </c>
      <c r="BW33" s="120">
        <v>0.6</v>
      </c>
      <c r="BY33" s="108">
        <v>500</v>
      </c>
      <c r="BZ33" s="108">
        <v>29.7</v>
      </c>
      <c r="CA33" s="108">
        <v>440.6</v>
      </c>
      <c r="CB33" s="108">
        <v>45.4</v>
      </c>
      <c r="CC33" s="108">
        <v>409.2</v>
      </c>
      <c r="CD33" s="109">
        <v>67.599999999999994</v>
      </c>
      <c r="CE33" s="24">
        <f t="shared" si="4"/>
        <v>364.8</v>
      </c>
    </row>
    <row r="34" spans="2:83" ht="18" customHeight="1" x14ac:dyDescent="0.3">
      <c r="B34" s="15"/>
      <c r="C34" s="56"/>
      <c r="D34" s="1" t="s">
        <v>96</v>
      </c>
      <c r="S34" s="106" t="s">
        <v>14</v>
      </c>
      <c r="T34" s="179">
        <v>23</v>
      </c>
      <c r="U34" s="179"/>
      <c r="W34" s="1" t="s">
        <v>15</v>
      </c>
      <c r="Y34" s="1" t="s">
        <v>67</v>
      </c>
      <c r="AU34" s="16"/>
      <c r="AV34" s="16"/>
      <c r="AW34" s="1"/>
      <c r="AX34" s="1"/>
      <c r="AZ34" s="17"/>
      <c r="BC34" s="1">
        <v>25</v>
      </c>
      <c r="BD34" s="19">
        <v>600</v>
      </c>
      <c r="BE34" s="59"/>
      <c r="BJ34" s="24">
        <f t="shared" si="7"/>
        <v>1</v>
      </c>
      <c r="BK34" s="24">
        <f>IF($BD$9&gt;400,1,0)</f>
        <v>0</v>
      </c>
      <c r="BL34" s="31">
        <f t="shared" si="8"/>
        <v>0</v>
      </c>
      <c r="BM34" s="121" t="s">
        <v>155</v>
      </c>
      <c r="BN34" s="123">
        <v>25</v>
      </c>
      <c r="BO34" s="24" t="s">
        <v>22</v>
      </c>
      <c r="BP34" s="112">
        <v>30</v>
      </c>
      <c r="BQ34" s="125">
        <v>12</v>
      </c>
      <c r="BR34" s="125">
        <f t="shared" si="6"/>
        <v>28</v>
      </c>
      <c r="BS34" s="125">
        <v>12</v>
      </c>
      <c r="BT34" s="24">
        <v>1200</v>
      </c>
      <c r="BU34" s="24">
        <v>1.05</v>
      </c>
      <c r="BV34" s="24">
        <v>2</v>
      </c>
      <c r="BW34" s="120">
        <v>1.2</v>
      </c>
      <c r="BY34" s="108">
        <v>560</v>
      </c>
      <c r="BZ34" s="108">
        <v>33.200000000000003</v>
      </c>
      <c r="CA34" s="108">
        <v>493.6</v>
      </c>
      <c r="CB34" s="108">
        <v>50.8</v>
      </c>
      <c r="CC34" s="108">
        <v>458.4</v>
      </c>
      <c r="CD34" s="109">
        <v>75.7</v>
      </c>
      <c r="CE34" s="24">
        <f t="shared" si="4"/>
        <v>408.6</v>
      </c>
    </row>
    <row r="35" spans="2:83" ht="18" customHeight="1" x14ac:dyDescent="0.4">
      <c r="B35" s="15"/>
      <c r="C35" s="56"/>
      <c r="D35" s="1" t="s">
        <v>68</v>
      </c>
      <c r="F35" s="59"/>
      <c r="T35" s="164">
        <f>IF(T34="","",IF(T33=0,T34+BI47,T34+T33))</f>
        <v>25</v>
      </c>
      <c r="U35" s="164"/>
      <c r="W35" s="1" t="s">
        <v>15</v>
      </c>
      <c r="AU35" s="16"/>
      <c r="AV35" s="16"/>
      <c r="AW35" s="1"/>
      <c r="AX35" s="11"/>
      <c r="AZ35" s="17"/>
      <c r="BC35" s="1">
        <v>26</v>
      </c>
      <c r="BD35" s="19">
        <v>700</v>
      </c>
      <c r="BE35" s="59"/>
      <c r="BJ35" s="24">
        <f t="shared" si="7"/>
        <v>0</v>
      </c>
      <c r="BK35" s="54">
        <f>IF($BD$9&lt;150,1,0)</f>
        <v>0</v>
      </c>
      <c r="BL35" s="31">
        <f t="shared" ref="BL35:BL40" si="9">IF(AND(BJ35=1,BK35=1),1,0)</f>
        <v>0</v>
      </c>
      <c r="BM35" s="110" t="s">
        <v>153</v>
      </c>
      <c r="BN35" s="122">
        <v>16</v>
      </c>
      <c r="BO35" s="114" t="s">
        <v>146</v>
      </c>
      <c r="BP35" s="112">
        <v>21</v>
      </c>
      <c r="BQ35" s="125">
        <v>12</v>
      </c>
      <c r="BR35" s="125">
        <f t="shared" si="6"/>
        <v>19</v>
      </c>
      <c r="BS35" s="125">
        <v>3</v>
      </c>
      <c r="BT35" s="24">
        <v>1200</v>
      </c>
      <c r="BU35" s="24">
        <v>1.05</v>
      </c>
      <c r="BV35" s="24">
        <v>2</v>
      </c>
      <c r="BW35" s="120">
        <v>0.3</v>
      </c>
      <c r="BY35" s="108">
        <v>630</v>
      </c>
      <c r="BZ35" s="108">
        <v>37.4</v>
      </c>
      <c r="CA35" s="108">
        <v>555.20000000000005</v>
      </c>
      <c r="CB35" s="108">
        <v>57.2</v>
      </c>
      <c r="CC35" s="108">
        <v>515.6</v>
      </c>
      <c r="CD35" s="109">
        <v>85.1</v>
      </c>
      <c r="CE35" s="24">
        <f t="shared" si="4"/>
        <v>459.8</v>
      </c>
    </row>
    <row r="36" spans="2:83" ht="18" customHeight="1" x14ac:dyDescent="0.3">
      <c r="B36" s="15"/>
      <c r="C36" s="56"/>
      <c r="D36" s="1" t="s">
        <v>69</v>
      </c>
      <c r="T36" s="164">
        <f>IF(T34="","",IF(T33=0,MAX(MIN(T35*1.5,T35+5),10),MAX(T35+1,10)))</f>
        <v>30</v>
      </c>
      <c r="U36" s="164"/>
      <c r="W36" s="1" t="s">
        <v>15</v>
      </c>
      <c r="AU36" s="16"/>
      <c r="AV36" s="16"/>
      <c r="AW36" s="1"/>
      <c r="AX36" s="1"/>
      <c r="AZ36" s="17"/>
      <c r="BC36" s="1">
        <v>27</v>
      </c>
      <c r="BD36" s="19">
        <v>800</v>
      </c>
      <c r="BE36" s="59"/>
      <c r="BJ36" s="24">
        <f t="shared" si="7"/>
        <v>0</v>
      </c>
      <c r="BK36" s="24">
        <f>IF(AND($BD$9&lt;=400,$BD$9&gt;=150),1,0)</f>
        <v>1</v>
      </c>
      <c r="BL36" s="31">
        <f t="shared" si="9"/>
        <v>0</v>
      </c>
      <c r="BM36" s="110" t="s">
        <v>153</v>
      </c>
      <c r="BN36" s="123">
        <v>16</v>
      </c>
      <c r="BO36" s="24" t="s">
        <v>147</v>
      </c>
      <c r="BP36" s="112">
        <v>21</v>
      </c>
      <c r="BQ36" s="125">
        <v>12</v>
      </c>
      <c r="BR36" s="125">
        <f t="shared" si="6"/>
        <v>19</v>
      </c>
      <c r="BS36" s="125">
        <v>6</v>
      </c>
      <c r="BT36" s="24">
        <v>1200</v>
      </c>
      <c r="BU36" s="24">
        <v>1.05</v>
      </c>
      <c r="BV36" s="24">
        <v>2</v>
      </c>
      <c r="BW36" s="120">
        <v>0.6</v>
      </c>
      <c r="BY36" s="108">
        <v>710</v>
      </c>
      <c r="BZ36" s="108">
        <v>42.1</v>
      </c>
      <c r="CA36" s="108">
        <v>625.79999999999995</v>
      </c>
      <c r="CB36" s="108">
        <v>64.5</v>
      </c>
      <c r="CC36" s="108">
        <v>581</v>
      </c>
      <c r="CD36" s="109">
        <v>95.9</v>
      </c>
      <c r="CE36" s="24">
        <f t="shared" si="4"/>
        <v>518.20000000000005</v>
      </c>
    </row>
    <row r="37" spans="2:83" ht="18" customHeight="1" x14ac:dyDescent="0.25">
      <c r="B37" s="15"/>
      <c r="C37" s="56"/>
      <c r="D37" s="1" t="s">
        <v>97</v>
      </c>
      <c r="F37" s="59"/>
      <c r="T37" s="164">
        <f>IF(BH9=11,MIN(12,T36),IF(M32=0,T36,MIN(16,T36)))</f>
        <v>30</v>
      </c>
      <c r="U37" s="164"/>
      <c r="W37" s="1" t="s">
        <v>15</v>
      </c>
      <c r="AU37" s="16"/>
      <c r="AV37" s="16"/>
      <c r="AW37" s="1"/>
      <c r="AX37" s="1"/>
      <c r="BC37" s="1">
        <v>28</v>
      </c>
      <c r="BD37" s="19">
        <v>900</v>
      </c>
      <c r="BJ37" s="24">
        <f t="shared" si="7"/>
        <v>0</v>
      </c>
      <c r="BK37" s="24">
        <f>IF($BD$9&gt;400,1,0)</f>
        <v>0</v>
      </c>
      <c r="BL37" s="31">
        <f t="shared" si="9"/>
        <v>0</v>
      </c>
      <c r="BM37" s="110" t="s">
        <v>153</v>
      </c>
      <c r="BN37" s="123">
        <v>16</v>
      </c>
      <c r="BO37" s="24" t="s">
        <v>22</v>
      </c>
      <c r="BP37" s="112">
        <v>21</v>
      </c>
      <c r="BQ37" s="125">
        <v>12</v>
      </c>
      <c r="BR37" s="125">
        <f t="shared" si="6"/>
        <v>19</v>
      </c>
      <c r="BS37" s="125">
        <v>12</v>
      </c>
      <c r="BT37" s="24">
        <v>1200</v>
      </c>
      <c r="BU37" s="24">
        <v>1.05</v>
      </c>
      <c r="BV37" s="24">
        <v>2</v>
      </c>
      <c r="BW37" s="120">
        <v>1.2</v>
      </c>
      <c r="BY37" s="108">
        <v>800</v>
      </c>
      <c r="BZ37" s="108">
        <v>47.4</v>
      </c>
      <c r="CA37" s="108">
        <v>705.2</v>
      </c>
      <c r="CB37" s="108">
        <v>72.599999999999994</v>
      </c>
      <c r="CC37" s="108">
        <v>654.79999999999995</v>
      </c>
      <c r="CD37" s="109">
        <v>108.1</v>
      </c>
      <c r="CE37" s="24">
        <f t="shared" si="4"/>
        <v>583.79999999999995</v>
      </c>
    </row>
    <row r="38" spans="2:83" ht="18" customHeight="1" x14ac:dyDescent="0.25">
      <c r="B38" s="15"/>
      <c r="C38" s="56"/>
      <c r="D38" s="1" t="s">
        <v>70</v>
      </c>
      <c r="T38" s="164">
        <f>IF(T34="","",IF(T33="",1.1*T35,1.1*T34))</f>
        <v>27.500000000000004</v>
      </c>
      <c r="U38" s="164"/>
      <c r="W38" s="1" t="s">
        <v>15</v>
      </c>
      <c r="AU38" s="16"/>
      <c r="AV38" s="16"/>
      <c r="AW38" s="1"/>
      <c r="AX38" s="1"/>
      <c r="AY38" s="19"/>
      <c r="BC38" s="1">
        <v>29</v>
      </c>
      <c r="BD38" s="19">
        <v>1000</v>
      </c>
      <c r="BJ38" s="24">
        <f t="shared" si="7"/>
        <v>0</v>
      </c>
      <c r="BK38" s="54">
        <f>IF($BD$9&lt;150,1,0)</f>
        <v>0</v>
      </c>
      <c r="BL38" s="31">
        <f t="shared" si="9"/>
        <v>0</v>
      </c>
      <c r="BM38" s="110" t="s">
        <v>154</v>
      </c>
      <c r="BN38" s="122">
        <v>10</v>
      </c>
      <c r="BO38" s="114" t="s">
        <v>146</v>
      </c>
      <c r="BP38" s="112">
        <v>12</v>
      </c>
      <c r="BQ38" s="125">
        <v>12</v>
      </c>
      <c r="BR38" s="125">
        <f t="shared" si="6"/>
        <v>10</v>
      </c>
      <c r="BS38" s="125">
        <v>3</v>
      </c>
      <c r="BT38" s="24">
        <v>1200</v>
      </c>
      <c r="BU38" s="24">
        <v>1.05</v>
      </c>
      <c r="BV38" s="24">
        <v>2</v>
      </c>
      <c r="BW38" s="120">
        <v>0.3</v>
      </c>
      <c r="BY38" s="108">
        <v>900</v>
      </c>
      <c r="BZ38" s="108">
        <v>53.3</v>
      </c>
      <c r="CA38" s="108">
        <v>793.4</v>
      </c>
      <c r="CB38" s="108">
        <v>81.7</v>
      </c>
      <c r="CC38" s="108">
        <v>736.6</v>
      </c>
      <c r="CD38" s="109">
        <v>121.6</v>
      </c>
      <c r="CE38" s="24">
        <f t="shared" si="4"/>
        <v>656.8</v>
      </c>
    </row>
    <row r="39" spans="2:83" ht="18" customHeight="1" x14ac:dyDescent="0.25">
      <c r="B39" s="15"/>
      <c r="C39" s="56"/>
      <c r="D39" s="1" t="s">
        <v>98</v>
      </c>
      <c r="V39" s="165">
        <f>IF(T34="","",POWER(INDEX(BD10:BD38,BC9)/1000,2)*PI()/4*N42*100000)</f>
        <v>60318.578948924027</v>
      </c>
      <c r="W39" s="166"/>
      <c r="X39" s="166"/>
      <c r="Y39" s="1" t="s">
        <v>23</v>
      </c>
      <c r="AU39" s="16"/>
      <c r="AV39" s="16"/>
      <c r="AW39" s="1"/>
      <c r="AX39" s="1"/>
      <c r="BJ39" s="24">
        <f t="shared" si="7"/>
        <v>0</v>
      </c>
      <c r="BK39" s="24">
        <f>IF(AND($BD$9&lt;=400,$BD$9&gt;=150),1,0)</f>
        <v>1</v>
      </c>
      <c r="BL39" s="31">
        <f t="shared" si="9"/>
        <v>0</v>
      </c>
      <c r="BM39" s="110" t="s">
        <v>154</v>
      </c>
      <c r="BN39" s="123">
        <v>10</v>
      </c>
      <c r="BO39" s="24" t="s">
        <v>147</v>
      </c>
      <c r="BP39" s="112">
        <v>12</v>
      </c>
      <c r="BQ39" s="125">
        <v>12</v>
      </c>
      <c r="BR39" s="125">
        <f t="shared" si="6"/>
        <v>10</v>
      </c>
      <c r="BS39" s="125">
        <v>6</v>
      </c>
      <c r="BT39" s="24">
        <v>1200</v>
      </c>
      <c r="BU39" s="24">
        <v>1.05</v>
      </c>
      <c r="BV39" s="24">
        <v>2</v>
      </c>
      <c r="BW39" s="120">
        <v>0.6</v>
      </c>
      <c r="BY39" s="108">
        <v>1000</v>
      </c>
      <c r="BZ39" s="108">
        <v>59.3</v>
      </c>
      <c r="CA39" s="108">
        <v>881.4</v>
      </c>
      <c r="CB39" s="108">
        <v>90.8</v>
      </c>
      <c r="CC39" s="108">
        <v>818.4</v>
      </c>
      <c r="CD39" s="109">
        <v>135.1</v>
      </c>
      <c r="CE39" s="24">
        <f t="shared" si="4"/>
        <v>729.8</v>
      </c>
    </row>
    <row r="40" spans="2:83" ht="18" customHeight="1" x14ac:dyDescent="0.25">
      <c r="B40" s="15"/>
      <c r="C40" s="60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61"/>
      <c r="U40" s="61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9"/>
      <c r="AV40" s="16"/>
      <c r="AW40" s="1"/>
      <c r="AX40" s="1"/>
      <c r="BJ40" s="24">
        <f t="shared" si="7"/>
        <v>0</v>
      </c>
      <c r="BK40" s="24">
        <f>IF($BD$9&gt;400,1,0)</f>
        <v>0</v>
      </c>
      <c r="BL40" s="31">
        <f t="shared" si="9"/>
        <v>0</v>
      </c>
      <c r="BM40" s="110" t="s">
        <v>154</v>
      </c>
      <c r="BN40" s="123">
        <v>10</v>
      </c>
      <c r="BO40" s="24" t="s">
        <v>22</v>
      </c>
      <c r="BP40" s="112">
        <v>12</v>
      </c>
      <c r="BQ40" s="125">
        <v>12</v>
      </c>
      <c r="BR40" s="125">
        <f t="shared" si="6"/>
        <v>10</v>
      </c>
      <c r="BS40" s="125">
        <v>12</v>
      </c>
      <c r="BT40" s="24">
        <v>1200</v>
      </c>
      <c r="BU40" s="24">
        <v>1.05</v>
      </c>
      <c r="BV40" s="24">
        <v>2</v>
      </c>
      <c r="BW40" s="120">
        <v>1.2</v>
      </c>
    </row>
    <row r="41" spans="2:83" ht="18" customHeight="1" x14ac:dyDescent="0.3">
      <c r="B41" s="15"/>
      <c r="C41" s="56"/>
      <c r="D41" s="43" t="s">
        <v>74</v>
      </c>
      <c r="U41" s="57"/>
      <c r="AU41" s="16"/>
      <c r="AV41" s="16"/>
      <c r="AW41" s="1"/>
      <c r="AX41" s="1"/>
      <c r="BJ41" s="24">
        <f t="shared" si="7"/>
        <v>0</v>
      </c>
      <c r="BK41" s="24">
        <f>IF($BD$9&gt;0,1,0)</f>
        <v>1</v>
      </c>
      <c r="BL41" s="31">
        <f t="shared" ref="BL41" si="10">IF(AND(BJ41=1,BK41=1),1,0)</f>
        <v>0</v>
      </c>
      <c r="BM41" s="119" t="s">
        <v>128</v>
      </c>
      <c r="BN41" s="120">
        <v>10</v>
      </c>
      <c r="BO41" s="120" t="s">
        <v>149</v>
      </c>
      <c r="BP41" s="112">
        <v>15</v>
      </c>
      <c r="BQ41" s="112">
        <v>6</v>
      </c>
      <c r="BR41" s="112">
        <v>15</v>
      </c>
      <c r="BS41" s="112">
        <v>1</v>
      </c>
      <c r="BT41" s="120">
        <v>15000</v>
      </c>
      <c r="BU41" s="120">
        <v>1.05</v>
      </c>
      <c r="BV41" s="120">
        <v>1</v>
      </c>
      <c r="BW41" s="120">
        <v>0.2</v>
      </c>
    </row>
    <row r="42" spans="2:83" ht="18" customHeight="1" x14ac:dyDescent="0.3">
      <c r="B42" s="15"/>
      <c r="C42" s="56"/>
      <c r="D42" s="1" t="s">
        <v>99</v>
      </c>
      <c r="J42" s="33"/>
      <c r="N42" s="154">
        <f>T37</f>
        <v>30</v>
      </c>
      <c r="O42" s="154"/>
      <c r="P42" s="1" t="s">
        <v>15</v>
      </c>
      <c r="S42" s="1" t="s">
        <v>100</v>
      </c>
      <c r="Z42" s="150" t="str">
        <f>IF(SUM(BL11:BL40)=0,"",VLOOKUP(1,BL9:BU40,4,FALSE))</f>
        <v>150 bis 400</v>
      </c>
      <c r="AA42" s="150"/>
      <c r="AB42" s="43" t="s">
        <v>103</v>
      </c>
      <c r="AI42" s="155" t="s">
        <v>101</v>
      </c>
      <c r="AJ42" s="155"/>
      <c r="AK42" s="155"/>
      <c r="AM42" s="161" t="s">
        <v>77</v>
      </c>
      <c r="AN42" s="162"/>
      <c r="AO42" s="163"/>
      <c r="AR42" s="155" t="s">
        <v>102</v>
      </c>
      <c r="AS42" s="155"/>
      <c r="AT42" s="155"/>
      <c r="AU42" s="16"/>
      <c r="AV42" s="16"/>
      <c r="AW42" s="47"/>
      <c r="AX42" s="1"/>
    </row>
    <row r="43" spans="2:83" ht="18" customHeight="1" x14ac:dyDescent="0.25">
      <c r="B43" s="15"/>
      <c r="C43" s="56"/>
      <c r="D43" s="1" t="s">
        <v>104</v>
      </c>
      <c r="X43" s="1" t="s">
        <v>105</v>
      </c>
      <c r="AI43" s="147" t="s">
        <v>24</v>
      </c>
      <c r="AJ43" s="147"/>
      <c r="AK43" s="147"/>
      <c r="AM43" s="156">
        <f>N42</f>
        <v>30</v>
      </c>
      <c r="AN43" s="157"/>
      <c r="AO43" s="158"/>
      <c r="AQ43" s="62" t="s">
        <v>25</v>
      </c>
      <c r="AR43" s="159"/>
      <c r="AS43" s="159"/>
      <c r="AT43" s="159"/>
      <c r="AU43" s="16"/>
      <c r="AV43" s="16"/>
      <c r="AW43" s="1"/>
      <c r="AX43" s="1"/>
    </row>
    <row r="44" spans="2:83" ht="18" customHeight="1" thickBot="1" x14ac:dyDescent="0.45">
      <c r="B44" s="15"/>
      <c r="C44" s="56"/>
      <c r="D44" s="1" t="s">
        <v>107</v>
      </c>
      <c r="P44" s="126">
        <f>IF(ISERROR(VLOOKUP(1,BL9:BV41,11,FALSE)),"",VLOOKUP(1,BL9:BV41,11,FALSE))</f>
        <v>2</v>
      </c>
      <c r="Q44" s="126"/>
      <c r="R44" s="126"/>
      <c r="S44" s="43" t="s">
        <v>15</v>
      </c>
      <c r="T44" s="43"/>
      <c r="X44" s="1" t="s">
        <v>106</v>
      </c>
      <c r="AI44" s="147" t="s">
        <v>24</v>
      </c>
      <c r="AJ44" s="147"/>
      <c r="AK44" s="147"/>
      <c r="AM44" s="156">
        <f>IF(AM43="","",AM43-P44)</f>
        <v>28</v>
      </c>
      <c r="AN44" s="157"/>
      <c r="AO44" s="158"/>
      <c r="AQ44" s="62" t="s">
        <v>26</v>
      </c>
      <c r="AR44" s="160"/>
      <c r="AS44" s="160"/>
      <c r="AT44" s="160"/>
      <c r="AU44" s="16"/>
      <c r="AV44" s="16"/>
      <c r="AW44" s="1"/>
      <c r="AX44" s="1"/>
      <c r="AZ44" s="1" t="s">
        <v>59</v>
      </c>
    </row>
    <row r="45" spans="2:83" ht="18" customHeight="1" thickBot="1" x14ac:dyDescent="0.45">
      <c r="B45" s="15"/>
      <c r="C45" s="56"/>
      <c r="D45" s="1" t="s">
        <v>136</v>
      </c>
      <c r="P45" s="149"/>
      <c r="Q45" s="149"/>
      <c r="R45" s="149"/>
      <c r="S45" s="43" t="s">
        <v>13</v>
      </c>
      <c r="T45" s="43"/>
      <c r="X45" s="1" t="s">
        <v>118</v>
      </c>
      <c r="AD45" s="141">
        <f>AM18</f>
        <v>11.249223410584939</v>
      </c>
      <c r="AE45" s="141"/>
      <c r="AF45" s="141"/>
      <c r="AG45" s="63" t="s">
        <v>27</v>
      </c>
      <c r="AH45" s="126">
        <f>P44</f>
        <v>2</v>
      </c>
      <c r="AI45" s="150"/>
      <c r="AJ45" s="43" t="s">
        <v>28</v>
      </c>
      <c r="AK45" s="43" t="s">
        <v>29</v>
      </c>
      <c r="AL45" s="43"/>
      <c r="AM45" s="43"/>
      <c r="AN45" s="43" t="s">
        <v>30</v>
      </c>
      <c r="AO45" s="43"/>
      <c r="AP45" s="64" t="s">
        <v>31</v>
      </c>
      <c r="AR45" s="151" t="str">
        <f>IF(AR44="","",AM18/P44*(AR43-AR44))</f>
        <v/>
      </c>
      <c r="AS45" s="152"/>
      <c r="AT45" s="153"/>
      <c r="AU45" s="16" t="s">
        <v>13</v>
      </c>
      <c r="AV45" s="16"/>
      <c r="AW45" s="1"/>
      <c r="AX45" s="1"/>
      <c r="AZ45" s="1" t="s">
        <v>60</v>
      </c>
    </row>
    <row r="46" spans="2:83" ht="18" customHeight="1" x14ac:dyDescent="0.3">
      <c r="B46" s="15"/>
      <c r="C46" s="60"/>
      <c r="D46" s="3"/>
      <c r="E46" s="3"/>
      <c r="F46" s="3"/>
      <c r="G46" s="3"/>
      <c r="H46" s="3"/>
      <c r="I46" s="3"/>
      <c r="J46" s="3"/>
      <c r="K46" s="3"/>
      <c r="L46" s="3"/>
      <c r="M46" s="127" t="str">
        <f>IF(P45="","Druckabfallprüfung erfolgreich : JA / NEIN (anstreichen)",IF(P45&lt;=AR45,"Druckabfallprüfung erfolgreich","Kontrolle, Leitung schlecht entlüftet"))</f>
        <v>Druckabfallprüfung erfolgreich : JA / NEIN (anstreichen)</v>
      </c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3"/>
      <c r="AN46" s="65"/>
      <c r="AO46" s="3"/>
      <c r="AP46" s="3"/>
      <c r="AQ46" s="3"/>
      <c r="AR46" s="3"/>
      <c r="AS46" s="3"/>
      <c r="AT46" s="3"/>
      <c r="AU46" s="39"/>
      <c r="AV46" s="16"/>
      <c r="AW46" s="1"/>
      <c r="AX46" s="1"/>
      <c r="AZ46" s="1" t="s">
        <v>61</v>
      </c>
      <c r="BG46" s="1" t="s">
        <v>77</v>
      </c>
      <c r="BH46" s="19"/>
      <c r="BI46" s="33"/>
      <c r="BJ46" s="33"/>
      <c r="BK46" s="33"/>
      <c r="BL46" s="33"/>
      <c r="BM46" s="33"/>
      <c r="BN46" s="33"/>
    </row>
    <row r="47" spans="2:83" ht="18" customHeight="1" x14ac:dyDescent="0.3">
      <c r="B47" s="15"/>
      <c r="C47" s="56"/>
      <c r="D47" s="43" t="s">
        <v>75</v>
      </c>
      <c r="AD47" s="13"/>
      <c r="AE47" s="13"/>
      <c r="AF47" s="13"/>
      <c r="AG47" s="13"/>
      <c r="AH47" s="13"/>
      <c r="AI47" s="66"/>
      <c r="AJ47" s="66"/>
      <c r="AK47" s="66"/>
      <c r="AL47" s="13"/>
      <c r="AM47" s="13"/>
      <c r="AU47" s="16"/>
      <c r="AV47" s="16"/>
      <c r="AW47" s="1"/>
      <c r="AX47" s="1"/>
      <c r="AZ47" s="1" t="s">
        <v>62</v>
      </c>
      <c r="BG47" s="1" t="s">
        <v>78</v>
      </c>
      <c r="BH47" s="19"/>
      <c r="BI47" s="33">
        <v>2</v>
      </c>
      <c r="BJ47" s="33"/>
      <c r="BK47" s="33"/>
      <c r="BL47" s="33"/>
    </row>
    <row r="48" spans="2:83" ht="18" customHeight="1" x14ac:dyDescent="0.3">
      <c r="B48" s="15"/>
      <c r="C48" s="15"/>
      <c r="D48" s="1" t="s">
        <v>114</v>
      </c>
      <c r="P48" s="154">
        <f>IF(AM43="","",AM43)</f>
        <v>30</v>
      </c>
      <c r="Q48" s="154"/>
      <c r="R48" s="1" t="s">
        <v>15</v>
      </c>
      <c r="X48" s="1" t="s">
        <v>115</v>
      </c>
      <c r="AI48" s="143" t="s">
        <v>24</v>
      </c>
      <c r="AJ48" s="143"/>
      <c r="AK48" s="143"/>
      <c r="AM48" s="144"/>
      <c r="AN48" s="145"/>
      <c r="AO48" s="146"/>
      <c r="AU48" s="16"/>
      <c r="AV48" s="16"/>
      <c r="AW48" s="1"/>
      <c r="AX48" s="1"/>
      <c r="AZ48" s="1" t="s">
        <v>63</v>
      </c>
    </row>
    <row r="49" spans="2:60" ht="18" customHeight="1" x14ac:dyDescent="0.3">
      <c r="B49" s="15"/>
      <c r="C49" s="67"/>
      <c r="D49" s="1" t="s">
        <v>119</v>
      </c>
      <c r="H49" s="142">
        <f>IF(SUM(BL11:BL40)=0,"",VLOOKUP(1,BL9:BU40,5,FALSE))</f>
        <v>30</v>
      </c>
      <c r="I49" s="142"/>
      <c r="J49" s="68" t="s">
        <v>103</v>
      </c>
      <c r="K49" s="69"/>
      <c r="T49" s="33"/>
      <c r="AI49" s="143" t="s">
        <v>24</v>
      </c>
      <c r="AJ49" s="143"/>
      <c r="AK49" s="143"/>
      <c r="AM49" s="144"/>
      <c r="AN49" s="145"/>
      <c r="AO49" s="146"/>
      <c r="AU49" s="16"/>
      <c r="AV49" s="16"/>
      <c r="AW49" s="1"/>
      <c r="AX49" s="1"/>
      <c r="BG49" s="1" t="s">
        <v>76</v>
      </c>
    </row>
    <row r="50" spans="2:60" ht="18" customHeight="1" x14ac:dyDescent="0.25">
      <c r="B50" s="15"/>
      <c r="C50" s="56"/>
      <c r="AI50" s="147" t="s">
        <v>24</v>
      </c>
      <c r="AJ50" s="147"/>
      <c r="AK50" s="147"/>
      <c r="AM50" s="144"/>
      <c r="AN50" s="145"/>
      <c r="AO50" s="146"/>
      <c r="AP50" s="70"/>
      <c r="AQ50" s="70"/>
      <c r="AR50" s="70"/>
      <c r="AS50" s="70"/>
      <c r="AT50" s="70"/>
      <c r="AU50" s="16"/>
      <c r="AV50" s="16"/>
      <c r="AW50" s="1"/>
      <c r="AX50" s="1"/>
      <c r="BG50" s="45" t="s">
        <v>85</v>
      </c>
      <c r="BH50" s="45" t="s">
        <v>120</v>
      </c>
    </row>
    <row r="51" spans="2:60" ht="18" customHeight="1" x14ac:dyDescent="0.3">
      <c r="B51" s="15"/>
      <c r="C51" s="56"/>
      <c r="D51" s="1" t="s">
        <v>117</v>
      </c>
      <c r="H51" s="33"/>
      <c r="I51" s="33"/>
      <c r="Q51" s="148">
        <f>IF(ISERROR(VLOOKUP(1,BL10:BW41,12,FALSE)),"",ROUND(VLOOKUP(1,BL10:BW41,12,FALSE),2))</f>
        <v>0.6</v>
      </c>
      <c r="R51" s="148"/>
      <c r="S51" s="43"/>
      <c r="T51" s="1" t="s">
        <v>15</v>
      </c>
      <c r="X51" s="1" t="s">
        <v>116</v>
      </c>
      <c r="AI51" s="143" t="s">
        <v>24</v>
      </c>
      <c r="AJ51" s="143"/>
      <c r="AK51" s="143"/>
      <c r="AM51" s="144"/>
      <c r="AN51" s="145"/>
      <c r="AO51" s="146"/>
      <c r="AP51" s="70"/>
      <c r="AQ51" s="70"/>
      <c r="AR51" s="70"/>
      <c r="AS51" s="70"/>
      <c r="AT51" s="70"/>
      <c r="AU51" s="16"/>
      <c r="AV51" s="16"/>
      <c r="AW51" s="1"/>
      <c r="AX51" s="1"/>
    </row>
    <row r="52" spans="2:60" ht="18.75" customHeight="1" x14ac:dyDescent="0.3">
      <c r="B52" s="15"/>
      <c r="C52" s="60"/>
      <c r="D52" s="3"/>
      <c r="E52" s="3"/>
      <c r="F52" s="3"/>
      <c r="G52" s="3"/>
      <c r="H52" s="3"/>
      <c r="I52" s="3"/>
      <c r="J52" s="3"/>
      <c r="K52" s="3"/>
      <c r="L52" s="3"/>
      <c r="M52" s="127" t="str">
        <f>IF(AM51="","Hauptprüfung erfolgreich : JA / NEIN (anstreichen)",IF(AM51+Q51&gt;=MAX(AM48:AM51),"PRÜFUNG ERFOLGREICH !","KONTROLLE !"))</f>
        <v>Hauptprüfung erfolgreich : JA / NEIN (anstreichen)</v>
      </c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61"/>
      <c r="AM52" s="71"/>
      <c r="AN52" s="3"/>
      <c r="AO52" s="3"/>
      <c r="AP52" s="3"/>
      <c r="AQ52" s="3"/>
      <c r="AR52" s="3"/>
      <c r="AS52" s="3"/>
      <c r="AT52" s="3"/>
      <c r="AU52" s="39"/>
      <c r="AV52" s="16"/>
      <c r="AW52" s="1"/>
      <c r="AX52" s="1"/>
    </row>
    <row r="53" spans="2:60" ht="12.75" customHeight="1" x14ac:dyDescent="0.3">
      <c r="B53" s="15"/>
      <c r="C53" s="56"/>
      <c r="D53" s="46" t="s">
        <v>58</v>
      </c>
      <c r="AU53" s="16"/>
      <c r="AV53" s="16"/>
      <c r="AW53" s="1"/>
      <c r="AX53" s="1"/>
    </row>
    <row r="54" spans="2:60" ht="18" customHeight="1" x14ac:dyDescent="0.25">
      <c r="B54" s="15"/>
      <c r="C54" s="56"/>
      <c r="D54" s="128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  <c r="AP54" s="129"/>
      <c r="AQ54" s="129"/>
      <c r="AR54" s="129"/>
      <c r="AS54" s="129"/>
      <c r="AT54" s="130"/>
      <c r="AU54" s="16"/>
      <c r="AV54" s="16"/>
      <c r="AW54" s="1"/>
      <c r="AX54" s="1"/>
    </row>
    <row r="55" spans="2:60" ht="18" customHeight="1" x14ac:dyDescent="0.25">
      <c r="B55" s="15"/>
      <c r="C55" s="56"/>
      <c r="D55" s="131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  <c r="AG55" s="132"/>
      <c r="AH55" s="132"/>
      <c r="AI55" s="132"/>
      <c r="AJ55" s="132"/>
      <c r="AK55" s="132"/>
      <c r="AL55" s="132"/>
      <c r="AM55" s="132"/>
      <c r="AN55" s="132"/>
      <c r="AO55" s="132"/>
      <c r="AP55" s="132"/>
      <c r="AQ55" s="132"/>
      <c r="AR55" s="132"/>
      <c r="AS55" s="132"/>
      <c r="AT55" s="133"/>
      <c r="AU55" s="16"/>
      <c r="AV55" s="16"/>
      <c r="AW55" s="1"/>
      <c r="AX55" s="1"/>
    </row>
    <row r="56" spans="2:60" ht="18" customHeight="1" x14ac:dyDescent="0.25">
      <c r="B56" s="15"/>
      <c r="C56" s="56"/>
      <c r="D56" s="134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  <c r="AM56" s="135"/>
      <c r="AN56" s="135"/>
      <c r="AO56" s="135"/>
      <c r="AP56" s="135"/>
      <c r="AQ56" s="135"/>
      <c r="AR56" s="135"/>
      <c r="AS56" s="135"/>
      <c r="AT56" s="136"/>
      <c r="AU56" s="16"/>
      <c r="AV56" s="16"/>
      <c r="AW56" s="1"/>
      <c r="AX56" s="1"/>
    </row>
    <row r="57" spans="2:60" ht="6.75" customHeight="1" x14ac:dyDescent="0.25">
      <c r="B57" s="15"/>
      <c r="C57" s="60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9"/>
      <c r="AV57" s="16"/>
      <c r="AW57" s="1"/>
      <c r="AX57" s="1"/>
    </row>
    <row r="58" spans="2:60" ht="6" customHeight="1" x14ac:dyDescent="0.25">
      <c r="B58" s="15"/>
      <c r="C58" s="72"/>
      <c r="AB58" s="42"/>
      <c r="AV58" s="16"/>
      <c r="AW58" s="1"/>
      <c r="AX58" s="1"/>
    </row>
    <row r="59" spans="2:60" ht="18" customHeight="1" x14ac:dyDescent="0.3">
      <c r="B59" s="15"/>
      <c r="C59" s="55"/>
      <c r="D59" s="73" t="s">
        <v>108</v>
      </c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2"/>
      <c r="T59" s="25" t="s">
        <v>111</v>
      </c>
      <c r="U59" s="13"/>
      <c r="V59" s="13"/>
      <c r="W59" s="13"/>
      <c r="X59" s="13"/>
      <c r="Y59" s="13"/>
      <c r="Z59" s="13"/>
      <c r="AA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4"/>
      <c r="AV59" s="16"/>
      <c r="AW59" s="1"/>
      <c r="AX59" s="1"/>
    </row>
    <row r="60" spans="2:60" ht="18.75" customHeight="1" x14ac:dyDescent="0.25">
      <c r="B60" s="15"/>
      <c r="C60" s="15"/>
      <c r="D60" s="1" t="s">
        <v>109</v>
      </c>
      <c r="I60" s="137"/>
      <c r="J60" s="138"/>
      <c r="K60" s="138"/>
      <c r="L60" s="138"/>
      <c r="M60" s="137"/>
      <c r="N60" s="138"/>
      <c r="O60" s="138"/>
      <c r="P60" s="138"/>
      <c r="Q60" s="74"/>
      <c r="S60" s="15"/>
      <c r="X60" s="1" t="s">
        <v>112</v>
      </c>
      <c r="AH60" s="137"/>
      <c r="AI60" s="138"/>
      <c r="AJ60" s="138"/>
      <c r="AK60" s="138"/>
      <c r="AN60" s="1" t="s">
        <v>113</v>
      </c>
      <c r="AO60" s="75"/>
      <c r="AP60" s="75"/>
      <c r="AQ60" s="137"/>
      <c r="AR60" s="138"/>
      <c r="AS60" s="138"/>
      <c r="AT60" s="138"/>
      <c r="AU60" s="16"/>
      <c r="AV60" s="16"/>
      <c r="AX60" s="1"/>
    </row>
    <row r="61" spans="2:60" ht="18" customHeight="1" x14ac:dyDescent="0.25">
      <c r="B61" s="15"/>
      <c r="C61" s="15"/>
      <c r="D61" s="1" t="s">
        <v>110</v>
      </c>
      <c r="I61" s="137"/>
      <c r="J61" s="138"/>
      <c r="K61" s="138"/>
      <c r="L61" s="138"/>
      <c r="M61" s="137"/>
      <c r="N61" s="138"/>
      <c r="O61" s="138"/>
      <c r="P61" s="138"/>
      <c r="Q61" s="74"/>
      <c r="S61" s="15"/>
      <c r="AH61" s="139"/>
      <c r="AI61" s="139"/>
      <c r="AJ61" s="139"/>
      <c r="AK61" s="75"/>
      <c r="AU61" s="16"/>
      <c r="AV61" s="16"/>
      <c r="AX61" s="1"/>
    </row>
    <row r="62" spans="2:60" ht="18" customHeight="1" x14ac:dyDescent="0.25">
      <c r="B62" s="15"/>
      <c r="C62" s="76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7"/>
      <c r="T62" s="3"/>
      <c r="U62" s="3"/>
      <c r="V62" s="3"/>
      <c r="W62" s="3"/>
      <c r="X62" s="3"/>
      <c r="Y62" s="77"/>
      <c r="Z62" s="3"/>
      <c r="AQ62" s="3"/>
      <c r="AR62" s="3"/>
      <c r="AS62" s="3"/>
      <c r="AT62" s="3"/>
      <c r="AU62" s="39"/>
      <c r="AV62" s="16"/>
      <c r="AX62" s="1"/>
    </row>
    <row r="63" spans="2:60" ht="10.5" customHeight="1" x14ac:dyDescent="0.3">
      <c r="B63" s="37"/>
      <c r="C63" s="107" t="s">
        <v>144</v>
      </c>
      <c r="D63" s="78"/>
      <c r="E63" s="79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1"/>
      <c r="T63" s="81"/>
      <c r="U63" s="81"/>
      <c r="V63" s="81"/>
      <c r="W63" s="81"/>
      <c r="X63" s="81"/>
      <c r="Y63" s="82"/>
      <c r="Z63" s="82"/>
      <c r="AA63" s="83"/>
      <c r="AB63" s="83"/>
      <c r="AC63" s="83"/>
      <c r="AD63" s="83"/>
      <c r="AE63" s="83"/>
      <c r="AF63" s="83"/>
      <c r="AG63" s="83"/>
      <c r="AH63" s="80"/>
      <c r="AI63" s="80"/>
      <c r="AJ63" s="80"/>
      <c r="AK63" s="80"/>
      <c r="AL63" s="80"/>
      <c r="AM63" s="80"/>
      <c r="AN63" s="80"/>
      <c r="AO63" s="80"/>
      <c r="AP63" s="80"/>
      <c r="AQ63" s="3"/>
      <c r="AR63" s="84"/>
      <c r="AS63" s="140"/>
      <c r="AT63" s="140"/>
      <c r="AU63" s="140"/>
      <c r="AV63" s="39"/>
      <c r="AX63" s="1"/>
    </row>
    <row r="64" spans="2:60" ht="8.15" customHeight="1" x14ac:dyDescent="0.25"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</row>
    <row r="65" spans="1:67" ht="18" customHeight="1" x14ac:dyDescent="0.25"/>
    <row r="66" spans="1:67" ht="18" customHeight="1" x14ac:dyDescent="0.25">
      <c r="B66" s="85"/>
      <c r="AV66" s="86"/>
    </row>
    <row r="67" spans="1:67" ht="18" customHeight="1" x14ac:dyDescent="0.3">
      <c r="A67" s="85"/>
      <c r="B67" s="85"/>
      <c r="H67" s="87"/>
      <c r="J67" s="141"/>
      <c r="K67" s="141"/>
      <c r="L67" s="141"/>
      <c r="M67" s="43"/>
      <c r="AV67" s="85"/>
      <c r="AW67" s="88"/>
    </row>
    <row r="68" spans="1:67" ht="18" customHeight="1" x14ac:dyDescent="0.25"/>
    <row r="69" spans="1:67" ht="18" customHeight="1" x14ac:dyDescent="0.3">
      <c r="Q69" s="126"/>
      <c r="R69" s="126"/>
      <c r="S69" s="43"/>
      <c r="T69" s="43"/>
      <c r="W69" s="33"/>
      <c r="X69" s="33"/>
    </row>
    <row r="70" spans="1:67" ht="18" customHeight="1" x14ac:dyDescent="0.25">
      <c r="AX70" s="88"/>
      <c r="BC70" s="85"/>
      <c r="BD70" s="85"/>
      <c r="BE70" s="85"/>
    </row>
    <row r="71" spans="1:67" ht="18" customHeight="1" x14ac:dyDescent="0.25"/>
    <row r="72" spans="1:67" ht="7" customHeight="1" x14ac:dyDescent="0.25">
      <c r="AZ72" s="85"/>
      <c r="BA72" s="85"/>
      <c r="BB72" s="85"/>
      <c r="BF72" s="85"/>
      <c r="BG72" s="85"/>
    </row>
    <row r="73" spans="1:67" ht="12" customHeight="1" x14ac:dyDescent="0.25">
      <c r="AY73" s="85"/>
      <c r="BH73" s="85"/>
      <c r="BI73" s="85"/>
      <c r="BJ73" s="85"/>
      <c r="BK73" s="85"/>
      <c r="BL73" s="85"/>
      <c r="BM73" s="85"/>
      <c r="BN73" s="85"/>
      <c r="BO73" s="85"/>
    </row>
    <row r="74" spans="1:67" s="85" customFormat="1" ht="12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2"/>
      <c r="AX74" s="2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</row>
    <row r="75" spans="1:67" ht="12" customHeight="1" x14ac:dyDescent="0.25"/>
    <row r="76" spans="1:67" ht="12" customHeight="1" x14ac:dyDescent="0.25"/>
    <row r="77" spans="1:67" ht="12" customHeight="1" x14ac:dyDescent="0.25"/>
    <row r="78" spans="1:67" ht="12" customHeight="1" x14ac:dyDescent="0.25"/>
    <row r="79" spans="1:67" ht="12" customHeight="1" x14ac:dyDescent="0.25"/>
    <row r="80" spans="1:67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</sheetData>
  <sheetProtection selectLockedCells="1"/>
  <mergeCells count="82">
    <mergeCell ref="CD9:CE9"/>
    <mergeCell ref="AP3:AU3"/>
    <mergeCell ref="H4:AO4"/>
    <mergeCell ref="AP4:AU4"/>
    <mergeCell ref="H5:AO6"/>
    <mergeCell ref="AP5:AR5"/>
    <mergeCell ref="AS5:AU5"/>
    <mergeCell ref="AP6:AV6"/>
    <mergeCell ref="AM19:AN19"/>
    <mergeCell ref="N9:AK9"/>
    <mergeCell ref="BZ9:CA9"/>
    <mergeCell ref="CB9:CC9"/>
    <mergeCell ref="K12:U12"/>
    <mergeCell ref="AL12:AR12"/>
    <mergeCell ref="K13:U13"/>
    <mergeCell ref="AA13:AR13"/>
    <mergeCell ref="K14:U14"/>
    <mergeCell ref="AA14:AR14"/>
    <mergeCell ref="K15:U15"/>
    <mergeCell ref="AQ15:AR15"/>
    <mergeCell ref="AM18:AO18"/>
    <mergeCell ref="J20:R20"/>
    <mergeCell ref="AM20:AN20"/>
    <mergeCell ref="AP20:AR20"/>
    <mergeCell ref="AM21:AN21"/>
    <mergeCell ref="M22:N22"/>
    <mergeCell ref="AM22:AO22"/>
    <mergeCell ref="AP22:AR22"/>
    <mergeCell ref="T37:U37"/>
    <mergeCell ref="AM23:AO23"/>
    <mergeCell ref="AP23:AR23"/>
    <mergeCell ref="D24:X27"/>
    <mergeCell ref="AM24:AO24"/>
    <mergeCell ref="AA25:AB25"/>
    <mergeCell ref="AM25:AN25"/>
    <mergeCell ref="M32:N32"/>
    <mergeCell ref="T33:U33"/>
    <mergeCell ref="T34:U34"/>
    <mergeCell ref="T35:U35"/>
    <mergeCell ref="T36:U36"/>
    <mergeCell ref="T38:U38"/>
    <mergeCell ref="V39:X39"/>
    <mergeCell ref="N42:O42"/>
    <mergeCell ref="Z42:AA42"/>
    <mergeCell ref="AI42:AK42"/>
    <mergeCell ref="AR42:AT42"/>
    <mergeCell ref="AI43:AK43"/>
    <mergeCell ref="AM43:AO43"/>
    <mergeCell ref="AR43:AT43"/>
    <mergeCell ref="P44:R44"/>
    <mergeCell ref="AI44:AK44"/>
    <mergeCell ref="AM44:AO44"/>
    <mergeCell ref="AR44:AT44"/>
    <mergeCell ref="AM42:AO42"/>
    <mergeCell ref="AR45:AT45"/>
    <mergeCell ref="M46:AK46"/>
    <mergeCell ref="P48:Q48"/>
    <mergeCell ref="AI48:AK48"/>
    <mergeCell ref="AM48:AO48"/>
    <mergeCell ref="Q51:R51"/>
    <mergeCell ref="AI51:AK51"/>
    <mergeCell ref="AM51:AO51"/>
    <mergeCell ref="P45:R45"/>
    <mergeCell ref="AD45:AF45"/>
    <mergeCell ref="AH45:AI45"/>
    <mergeCell ref="H49:I49"/>
    <mergeCell ref="AI49:AK49"/>
    <mergeCell ref="AM49:AO49"/>
    <mergeCell ref="AI50:AK50"/>
    <mergeCell ref="AM50:AO50"/>
    <mergeCell ref="Q69:R69"/>
    <mergeCell ref="M52:AK52"/>
    <mergeCell ref="D54:AT56"/>
    <mergeCell ref="I60:L60"/>
    <mergeCell ref="M60:P60"/>
    <mergeCell ref="AH60:AK60"/>
    <mergeCell ref="AQ60:AT60"/>
    <mergeCell ref="I61:L61"/>
    <mergeCell ref="M61:P61"/>
    <mergeCell ref="AH61:AJ61"/>
    <mergeCell ref="AS63:AU63"/>
    <mergeCell ref="J67:L67"/>
  </mergeCells>
  <conditionalFormatting sqref="AD45:AF45">
    <cfRule type="cellIs" dxfId="0" priority="1" stopIfTrue="1" operator="equal">
      <formula>""</formula>
    </cfRule>
  </conditionalFormatting>
  <printOptions horizontalCentered="1"/>
  <pageMargins left="0" right="0" top="0.78740157480314965" bottom="0" header="0" footer="0"/>
  <pageSetup paperSize="9" scale="76" orientation="portrait" horizontalDpi="400" verticalDpi="400" r:id="rId1"/>
  <headerFooter alignWithMargins="0"/>
  <rowBreaks count="1" manualBreakCount="1">
    <brk id="63" min="1" max="4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11</xdr:col>
                    <xdr:colOff>184150</xdr:colOff>
                    <xdr:row>20</xdr:row>
                    <xdr:rowOff>19050</xdr:rowOff>
                  </from>
                  <to>
                    <xdr:col>14</xdr:col>
                    <xdr:colOff>171450</xdr:colOff>
                    <xdr:row>20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26</xdr:col>
                    <xdr:colOff>0</xdr:colOff>
                    <xdr:row>14</xdr:row>
                    <xdr:rowOff>12700</xdr:rowOff>
                  </from>
                  <to>
                    <xdr:col>33</xdr:col>
                    <xdr:colOff>12700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9</xdr:col>
                    <xdr:colOff>12700</xdr:colOff>
                    <xdr:row>18</xdr:row>
                    <xdr:rowOff>12700</xdr:rowOff>
                  </from>
                  <to>
                    <xdr:col>18</xdr:col>
                    <xdr:colOff>31750</xdr:colOff>
                    <xdr:row>18</xdr:row>
                    <xdr:rowOff>222250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Normalverfahren</vt:lpstr>
      <vt:lpstr>Normalverfahren!Druckbereich</vt:lpstr>
    </vt:vector>
  </TitlesOfParts>
  <Company>Ville de Lausanne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eaux0061</dc:creator>
  <cp:lastModifiedBy>Biner Markus</cp:lastModifiedBy>
  <cp:lastPrinted>2012-05-21T08:06:41Z</cp:lastPrinted>
  <dcterms:created xsi:type="dcterms:W3CDTF">2012-03-27T15:16:15Z</dcterms:created>
  <dcterms:modified xsi:type="dcterms:W3CDTF">2025-04-11T07:59:03Z</dcterms:modified>
</cp:coreProperties>
</file>